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5970" windowWidth="19230" windowHeight="6030" tabRatio="784" firstSheet="2" activeTab="5"/>
  </bookViews>
  <sheets>
    <sheet name="Instructions" sheetId="1" r:id="rId1"/>
    <sheet name="Scoring Accuracy" sheetId="2" r:id="rId2"/>
    <sheet name="Scoring Data" sheetId="3" r:id="rId3"/>
    <sheet name="G1-Taste" sheetId="4" r:id="rId4"/>
    <sheet name="G2-Taste" sheetId="5" r:id="rId5"/>
    <sheet name="Judging Summary" sheetId="6" r:id="rId6"/>
    <sheet name="Avg-Taste" sheetId="7" r:id="rId7"/>
    <sheet name="Grids 1-12" sheetId="8" r:id="rId8"/>
    <sheet name="Grids 13-24" sheetId="9" r:id="rId9"/>
    <sheet name="Misc Names" sheetId="10" r:id="rId10"/>
    <sheet name="Revisions" sheetId="11" r:id="rId11"/>
  </sheets>
  <definedNames>
    <definedName name="AverageScores">'Avg-Taste'!$A$5:$AC$28</definedName>
    <definedName name="b1_accuracy">'Misc Names'!$D$34</definedName>
    <definedName name="b1_completeness">'Misc Names'!$D$7</definedName>
    <definedName name="b1_descriptive">'Misc Names'!$D$5</definedName>
    <definedName name="b1_feedback">'Misc Names'!$D$6</definedName>
    <definedName name="b1_perception">'Misc Names'!$D$4</definedName>
    <definedName name="b2_accuracy">'Misc Names'!$D$35</definedName>
    <definedName name="b2_completeness">'Misc Names'!$D$11</definedName>
    <definedName name="b2_descriptive">'Misc Names'!$D$9</definedName>
    <definedName name="b2_feedback">'Misc Names'!$D$10</definedName>
    <definedName name="b2_perceptive">'Misc Names'!$D$8</definedName>
    <definedName name="b3_accuracy">'Misc Names'!$D$36</definedName>
    <definedName name="b3_completeness">'Misc Names'!$D$15</definedName>
    <definedName name="b3_descriptive">'Misc Names'!$D$13</definedName>
    <definedName name="b3_feedback">'Misc Names'!$D$14</definedName>
    <definedName name="b3_perception">'Misc Names'!$D$12</definedName>
    <definedName name="b4_accuracy">'Misc Names'!$D$37</definedName>
    <definedName name="b4_completeness">'Misc Names'!$D$19</definedName>
    <definedName name="b4_descriptive">'Misc Names'!$D$17</definedName>
    <definedName name="b4_feedback">'Misc Names'!$D$18</definedName>
    <definedName name="b4_perception">'Misc Names'!$D$16</definedName>
    <definedName name="b5_accuracy">'Misc Names'!$D$38</definedName>
    <definedName name="b5_completeness">'Misc Names'!$D$23</definedName>
    <definedName name="b5_descriptive">'Misc Names'!$D$21</definedName>
    <definedName name="b5_feedback">'Misc Names'!$D$22</definedName>
    <definedName name="b5_perception">'Misc Names'!$D$20</definedName>
    <definedName name="b6_accuracy">'Misc Names'!$D$39</definedName>
    <definedName name="b6_completeness">'Misc Names'!$D$27</definedName>
    <definedName name="b6_descriptive">'Misc Names'!$D$25</definedName>
    <definedName name="b6_feedback">'Misc Names'!$D$26</definedName>
    <definedName name="b6_perception">'Misc Names'!$D$24</definedName>
    <definedName name="BeerName1">'Scoring Data'!$B$5</definedName>
    <definedName name="BeerName2">'Scoring Data'!$I$5</definedName>
    <definedName name="BeerName3">'Scoring Data'!$P$5</definedName>
    <definedName name="BeerName4">'Scoring Data'!$W$5</definedName>
    <definedName name="BeerName5">'Scoring Data'!$AD$5</definedName>
    <definedName name="BeerName6">'Scoring Data'!$AK$5</definedName>
    <definedName name="Consensus_B1" localSheetId="1">'Scoring Accuracy'!$B$8</definedName>
    <definedName name="Consensus_B2" localSheetId="1">'Scoring Accuracy'!$C$8</definedName>
    <definedName name="Consensus_B3" localSheetId="1">'Scoring Accuracy'!$D$8</definedName>
    <definedName name="Consensus_B4" localSheetId="1">'Scoring Accuracy'!$E$8</definedName>
    <definedName name="Consensus_B5" localSheetId="1">'Scoring Accuracy'!$F$8</definedName>
    <definedName name="Consensus_B6" localSheetId="1">'Scoring Accuracy'!$G$8</definedName>
    <definedName name="Exam_01">'Judging Summary'!$A$10</definedName>
    <definedName name="Exam_02">'Judging Summary'!$A$11</definedName>
    <definedName name="Exam_03">'Judging Summary'!$A$12</definedName>
    <definedName name="Exam_04">'Judging Summary'!$A$13</definedName>
    <definedName name="Exam_05">'Judging Summary'!$A$14</definedName>
    <definedName name="Exam_06">'Judging Summary'!$A$15</definedName>
    <definedName name="Exam_07">'Judging Summary'!$A$16</definedName>
    <definedName name="Exam_08">'Judging Summary'!$A$17</definedName>
    <definedName name="Exam_09">'Judging Summary'!$A$18</definedName>
    <definedName name="Exam_10">'Judging Summary'!$A$19</definedName>
    <definedName name="Exam_11">'Judging Summary'!$A$20</definedName>
    <definedName name="Exam_12">'Judging Summary'!$A$21</definedName>
    <definedName name="Exam_13">'Judging Summary'!$A$22</definedName>
    <definedName name="Exam_14">'Judging Summary'!$A$23</definedName>
    <definedName name="Exam_15">'Judging Summary'!$A$24</definedName>
    <definedName name="Exam_16">'Judging Summary'!$A$25</definedName>
    <definedName name="Exam_17">'Judging Summary'!$A$26</definedName>
    <definedName name="Exam_18">'Judging Summary'!$A$27</definedName>
    <definedName name="Exam_19">'Judging Summary'!$A$28</definedName>
    <definedName name="Exam_20">'Judging Summary'!$A$29</definedName>
    <definedName name="Exam_21">'Judging Summary'!$A$30</definedName>
    <definedName name="Exam_22">'Judging Summary'!$A$31</definedName>
    <definedName name="Exam_23">'Judging Summary'!$A$32</definedName>
    <definedName name="Exam_24">'Judging Summary'!$A$33</definedName>
    <definedName name="G1_Scores">'G1-Taste'!$A$5:$AC$24</definedName>
    <definedName name="G2_Scores">'G1-Taste'!$A$5:$AC$24</definedName>
    <definedName name="_xlnm.Print_Area" localSheetId="5">'Judging Summary'!$A$2:$S$26</definedName>
    <definedName name="ProctorName1">'Scoring Data'!$A$11</definedName>
    <definedName name="ProctorName2">'Scoring Data'!$A$12</definedName>
    <definedName name="ProctorName3">'Scoring Data'!$A$13</definedName>
    <definedName name="ScoringAccuracyTable">'Scoring Accuracy'!$A$9:$U$32</definedName>
    <definedName name="Sum_Accuracy">'Judging Summary'!$A$10:$P$33</definedName>
  </definedNames>
  <calcPr fullCalcOnLoad="1"/>
</workbook>
</file>

<file path=xl/sharedStrings.xml><?xml version="1.0" encoding="utf-8"?>
<sst xmlns="http://schemas.openxmlformats.org/spreadsheetml/2006/main" count="2330" uniqueCount="134">
  <si>
    <t>Date of Exam:</t>
  </si>
  <si>
    <t>Exam Number:</t>
  </si>
  <si>
    <t>Exam Graders:</t>
  </si>
  <si>
    <t>Exam Adminstrator:</t>
  </si>
  <si>
    <t>Beer Style</t>
  </si>
  <si>
    <t>Deviations</t>
  </si>
  <si>
    <t>Points</t>
  </si>
  <si>
    <t>Percent</t>
  </si>
  <si>
    <t>P</t>
  </si>
  <si>
    <t>D</t>
  </si>
  <si>
    <t>F</t>
  </si>
  <si>
    <t>C</t>
  </si>
  <si>
    <t>Averages</t>
  </si>
  <si>
    <t>Place Scores For Each Beer Below (Based on 20 pts./category/beer)</t>
  </si>
  <si>
    <t>This Is Calculated</t>
  </si>
  <si>
    <t>Exam</t>
  </si>
  <si>
    <t>No.</t>
  </si>
  <si>
    <t>Pts.</t>
  </si>
  <si>
    <t>Exam #</t>
  </si>
  <si>
    <t>S</t>
  </si>
  <si>
    <t>Consensus</t>
  </si>
  <si>
    <t>Average</t>
  </si>
  <si>
    <t>Examinees</t>
  </si>
  <si>
    <t>Appearance</t>
  </si>
  <si>
    <t>Aroma</t>
  </si>
  <si>
    <t>Flavor</t>
  </si>
  <si>
    <t>Mouthfeel</t>
  </si>
  <si>
    <t>Overall</t>
  </si>
  <si>
    <t>Overal</t>
  </si>
  <si>
    <t>Computed</t>
  </si>
  <si>
    <t>Asgn Total</t>
  </si>
  <si>
    <t>StdDev</t>
  </si>
  <si>
    <t>General</t>
  </si>
  <si>
    <t>Taste Exam</t>
  </si>
  <si>
    <t>Please read the Exam Scoring Guide.</t>
  </si>
  <si>
    <t>Graders only enter scores in the G1/G2-Essay and G1/G2-Taste tabs but should review the results for Scoring Accuracy in the "Taste Scoring" tab and T/F questions in the "TFQuestions" tab.</t>
  </si>
  <si>
    <t>Beer 5</t>
  </si>
  <si>
    <t>Beer 6</t>
  </si>
  <si>
    <t>Deviation</t>
  </si>
  <si>
    <t>Score</t>
  </si>
  <si>
    <t>All of the quantities in this tab are calculated for you</t>
  </si>
  <si>
    <t>Lead Grader Taste</t>
  </si>
  <si>
    <t>Second Grader Taste</t>
  </si>
  <si>
    <t>Exam Location:</t>
  </si>
  <si>
    <t>Individual Beer Scores</t>
  </si>
  <si>
    <t>Perception, Descriptions, Feedback &amp; Communication   (100 Point Scale)</t>
  </si>
  <si>
    <t>Points/120</t>
  </si>
  <si>
    <t>The exam director has already entered in the scores assigned to the beers by the proctors and examinees, so no data entry is needed in the Scoring Math tab.  This step automatically populates the Scoring Accuracy cell in the Tasting Summary (TS) tab.</t>
  </si>
  <si>
    <t>Refer to the Exam Scoring Guide and assign a maximum of 20 points for the Perception, Desciptive Ability, Feedback and Completeness/Communication for each examinee/beer in the appropriate cell in the G1-Taste or G2-Taste tab.</t>
  </si>
  <si>
    <t>Assigned Consensus</t>
  </si>
  <si>
    <t>Proctor and Participant Scores   (See Scoring Guide)</t>
  </si>
  <si>
    <t>Beer 1</t>
  </si>
  <si>
    <t>Beer 2</t>
  </si>
  <si>
    <t>Beer 3</t>
  </si>
  <si>
    <t>Beer 4</t>
  </si>
  <si>
    <t>Individual Beer Judging (100 point scale)</t>
  </si>
  <si>
    <t>G-1</t>
  </si>
  <si>
    <t>G-2</t>
  </si>
  <si>
    <t>Master</t>
  </si>
  <si>
    <t>National</t>
  </si>
  <si>
    <t>Certified</t>
  </si>
  <si>
    <t>Recognized</t>
  </si>
  <si>
    <t>Apprentice</t>
  </si>
  <si>
    <t>Perceptive Accuracy (20%)</t>
  </si>
  <si>
    <t>Feedback (20%)</t>
  </si>
  <si>
    <t>Completeness (20%)</t>
  </si>
  <si>
    <t>Scoring accuracy (20%)</t>
  </si>
  <si>
    <t>Individual Beer Judging</t>
  </si>
  <si>
    <t>Judging Skill</t>
  </si>
  <si>
    <t>Descriptive Ability (20%)</t>
  </si>
  <si>
    <t>Overall Performance Summary</t>
  </si>
  <si>
    <t>Beer 1 Style:</t>
  </si>
  <si>
    <t>Beer 2 Style:</t>
  </si>
  <si>
    <t>Beer 6 Style:</t>
  </si>
  <si>
    <t>Beer 5 Style:</t>
  </si>
  <si>
    <t>Beer 4 Style:</t>
  </si>
  <si>
    <t>Beer 3 Style:</t>
  </si>
  <si>
    <t>Beer 1 Perception</t>
  </si>
  <si>
    <t>Beer 1 Descriptive</t>
  </si>
  <si>
    <t>Beer 1 Feedback</t>
  </si>
  <si>
    <t>Beer 1 Completeness</t>
  </si>
  <si>
    <t>Beer 2 Perception</t>
  </si>
  <si>
    <t>Beer 2 Descriptive</t>
  </si>
  <si>
    <t>Beer 2 Feedback</t>
  </si>
  <si>
    <t>Beer 2 Completeness</t>
  </si>
  <si>
    <t>Beer 3 Perception</t>
  </si>
  <si>
    <t>Beer 3 Descriptive</t>
  </si>
  <si>
    <t>Beer 3 Feedback</t>
  </si>
  <si>
    <t>Beer 3 Completeness</t>
  </si>
  <si>
    <t>Beer 4 Perception</t>
  </si>
  <si>
    <t>Beer 4 Descriptive</t>
  </si>
  <si>
    <t>Beer 4 Feedback</t>
  </si>
  <si>
    <t>Beer 4 Completeness</t>
  </si>
  <si>
    <t>Beer 5 Perception</t>
  </si>
  <si>
    <t>Beer 5 Descriptive</t>
  </si>
  <si>
    <t>Beer 5 Feedback</t>
  </si>
  <si>
    <t>Beer 5 Completeness</t>
  </si>
  <si>
    <t>Beer 6 Perception</t>
  </si>
  <si>
    <t>Beer 6 Descriptive</t>
  </si>
  <si>
    <t>Beer 6 Feedback</t>
  </si>
  <si>
    <t>Beer 6 Completeness</t>
  </si>
  <si>
    <t>Avg Perception</t>
  </si>
  <si>
    <t>Avg Descriptive</t>
  </si>
  <si>
    <t>Avg Feedback</t>
  </si>
  <si>
    <t>Avg Completeness</t>
  </si>
  <si>
    <t>Columns for vlookup in Avg-Taste table. Handles automatic formula correction if columns are added.</t>
  </si>
  <si>
    <t>Columns for Scoring Accuracy of individual beers</t>
  </si>
  <si>
    <t>There are no values on this page that the graders should change</t>
  </si>
  <si>
    <t>Exam Director</t>
  </si>
  <si>
    <t>Exam Director enters the scoring information including the raw scores, proctors' scores, proctors' names, and exam beer styles on the 'Scoring Data' tab. The information from there is used to populate the other tabs. The ED also enters the exam numbers into the appropraite cells in column A of the 'Judging Summary' tab, the values are used to populate all the other tabs.</t>
  </si>
  <si>
    <t>The values on the 'Avg-Taste' tab, the average of the two graders' scores, are used to fill in the scoring grids. The grids for the first 12 exams are on the 'Grids 1-12' tab. If there are additional exams, there grids are on the 'Grids 13-24' tab. Once the consensus is completed, the grids can be cut-n-pasted from the tab into the RTP document.</t>
  </si>
  <si>
    <t>Date</t>
  </si>
  <si>
    <t>Changes</t>
  </si>
  <si>
    <t>Initial release</t>
  </si>
  <si>
    <t>This page is calculated for you</t>
  </si>
  <si>
    <t>The exam numbers (in column A) on each tab are copied from the exam numbers entered into column A on the "Judging Summary" tab. That way the setup allow any exam numbers to be used.</t>
  </si>
  <si>
    <t>Removed override of consensus score on the "Scoring Accuracy" tab. Restored the use of the exam numbers being copied from the "Judging Summary' tab. Fixed the scoring accuracy calculation on the "Judging Summary" tab. Made all the tabs support 24 exams, some formulas were not copied far enough down. Fixed up a bunch of formulas to display nothing rather than an error if data is not present for the exam.</t>
  </si>
  <si>
    <t>On both Grids tabs:</t>
  </si>
  <si>
    <t>Deleted 4 rows of bullets points above each beer grid</t>
  </si>
  <si>
    <t>Corrected beer 1 font to Arial 10 to match others</t>
  </si>
  <si>
    <t>Fixed formatting (shading) problems in Grid 13-24 tab</t>
  </si>
  <si>
    <t>Added one blank line before "Individual Beer Summary" and 4 blank lines in between Beers 4 and 5 to match page size of RTP</t>
  </si>
  <si>
    <t>City, ST</t>
  </si>
  <si>
    <t>Admin</t>
  </si>
  <si>
    <t>YYMMSTCI</t>
  </si>
  <si>
    <t>Grader 1 and Grader 2</t>
  </si>
  <si>
    <t>Style1</t>
  </si>
  <si>
    <t>Style2</t>
  </si>
  <si>
    <t>Style3</t>
  </si>
  <si>
    <t>Style4</t>
  </si>
  <si>
    <t>Style5</t>
  </si>
  <si>
    <t>Style6</t>
  </si>
  <si>
    <t>Phill Farrell fixed the links for G1 taste for the P D F C fields so that the judge summary and Grids tabs were populatec orrectly.</t>
  </si>
  <si>
    <t>Fixed the formula for 'AverageScores' to cover all 24 exams. The formula was only covering exams 1-20 before. Also fixed the formulas on the 'Grids 13-24' tab to refer to the correct exams - they were still set to use exams 1-12.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</si>
</sst>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quot;Yes&quot;;&quot;Yes&quot;;&quot;No&quot;"/>
    <numFmt numFmtId="167" formatCode="&quot;True&quot;;&quot;True&quot;;&quot;False&quot;"/>
    <numFmt numFmtId="168" formatCode="&quot;On&quot;;&quot;On&quot;;&quot;Off&quot;"/>
    <numFmt numFmtId="169" formatCode="[$€-2]\ #,##0.00_);[Red]\([$€-2]\ #,##0.00\)"/>
    <numFmt numFmtId="170" formatCode="0.000"/>
  </numFmts>
  <fonts count="62">
    <font>
      <sz val="10"/>
      <name val="Verdana"/>
      <family val="0"/>
    </font>
    <font>
      <sz val="12"/>
      <color indexed="8"/>
      <name val="Calibri"/>
      <family val="2"/>
    </font>
    <font>
      <sz val="10"/>
      <color indexed="10"/>
      <name val="Verdana"/>
      <family val="2"/>
    </font>
    <font>
      <b/>
      <sz val="10"/>
      <name val="Times New Roman"/>
      <family val="1"/>
    </font>
    <font>
      <sz val="10"/>
      <name val="Times New Roman"/>
      <family val="1"/>
    </font>
    <font>
      <b/>
      <sz val="8"/>
      <name val="Times New Roman"/>
      <family val="1"/>
    </font>
    <font>
      <sz val="12"/>
      <name val="Times New Roman"/>
      <family val="1"/>
    </font>
    <font>
      <sz val="8"/>
      <name val="Verdana"/>
      <family val="2"/>
    </font>
    <font>
      <sz val="11"/>
      <name val="Times New Roman"/>
      <family val="1"/>
    </font>
    <font>
      <sz val="16"/>
      <color indexed="10"/>
      <name val="Verdana"/>
      <family val="2"/>
    </font>
    <font>
      <sz val="12"/>
      <name val="Verdana"/>
      <family val="2"/>
    </font>
    <font>
      <b/>
      <sz val="12"/>
      <name val="Times New Roman"/>
      <family val="1"/>
    </font>
    <font>
      <b/>
      <sz val="12"/>
      <name val="Verdana"/>
      <family val="2"/>
    </font>
    <font>
      <b/>
      <sz val="9"/>
      <name val="Times New Roman"/>
      <family val="1"/>
    </font>
    <font>
      <sz val="9"/>
      <name val="Times New Roman"/>
      <family val="1"/>
    </font>
    <font>
      <b/>
      <sz val="11"/>
      <name val="Times New Roman"/>
      <family val="1"/>
    </font>
    <font>
      <b/>
      <u val="single"/>
      <sz val="11"/>
      <name val="Times New Roman"/>
      <family val="1"/>
    </font>
    <font>
      <sz val="10"/>
      <color indexed="10"/>
      <name val="Times New Roman"/>
      <family val="1"/>
    </font>
    <font>
      <b/>
      <sz val="10"/>
      <color indexed="10"/>
      <name val="Times New Roman"/>
      <family val="1"/>
    </font>
    <font>
      <sz val="10"/>
      <color indexed="16"/>
      <name val="Times New Roman"/>
      <family val="1"/>
    </font>
    <font>
      <sz val="10"/>
      <color indexed="12"/>
      <name val="Times New Roman"/>
      <family val="1"/>
    </font>
    <font>
      <u val="single"/>
      <sz val="10"/>
      <name val="Times New Roman"/>
      <family val="1"/>
    </font>
    <font>
      <b/>
      <sz val="10"/>
      <name val="Verdana"/>
      <family val="2"/>
    </font>
    <font>
      <b/>
      <sz val="10"/>
      <color indexed="9"/>
      <name val="Times New Roman"/>
      <family val="1"/>
    </font>
    <font>
      <b/>
      <u val="single"/>
      <sz val="10"/>
      <color indexed="9"/>
      <name val="Times New Roman"/>
      <family val="1"/>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20"/>
      <name val="Verdana"/>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Verdana"/>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Verdana"/>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6"/>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theme="2" tint="-0.24997000396251678"/>
        <bgColor indexed="64"/>
      </patternFill>
    </fill>
    <fill>
      <patternFill patternType="solid">
        <fgColor indexed="4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style="dotted"/>
    </border>
    <border>
      <left>
        <color indexed="63"/>
      </left>
      <right style="thin"/>
      <top style="dotted"/>
      <bottom style="dotted"/>
    </border>
    <border>
      <left>
        <color indexed="63"/>
      </left>
      <right>
        <color indexed="63"/>
      </right>
      <top style="dotted"/>
      <bottom style="dotted"/>
    </border>
    <border>
      <left>
        <color indexed="63"/>
      </left>
      <right style="thin"/>
      <top style="dotted"/>
      <bottom style="thin"/>
    </border>
    <border>
      <left>
        <color indexed="63"/>
      </left>
      <right style="thin"/>
      <top>
        <color indexed="63"/>
      </top>
      <bottom style="dotted"/>
    </border>
    <border>
      <left style="thin"/>
      <right style="thin"/>
      <top>
        <color indexed="63"/>
      </top>
      <bottom style="dotted"/>
    </border>
    <border>
      <left>
        <color indexed="63"/>
      </left>
      <right style="thin"/>
      <top style="thin"/>
      <bottom style="thin"/>
    </border>
    <border>
      <left style="thin"/>
      <right style="thin"/>
      <top style="dotted"/>
      <bottom>
        <color indexed="63"/>
      </bottom>
    </border>
    <border>
      <left style="thin"/>
      <right style="thin"/>
      <top style="dotted"/>
      <bottom style="dotted"/>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48">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center"/>
    </xf>
    <xf numFmtId="0" fontId="3" fillId="33" borderId="11" xfId="0" applyFont="1" applyFill="1" applyBorder="1" applyAlignment="1">
      <alignment horizontal="center"/>
    </xf>
    <xf numFmtId="0" fontId="6" fillId="33" borderId="0" xfId="0" applyFont="1" applyFill="1" applyBorder="1" applyAlignment="1" applyProtection="1">
      <alignment horizontal="left"/>
      <protection locked="0"/>
    </xf>
    <xf numFmtId="1" fontId="4" fillId="33" borderId="12" xfId="0" applyNumberFormat="1" applyFont="1" applyFill="1" applyBorder="1" applyAlignment="1">
      <alignment horizontal="center"/>
    </xf>
    <xf numFmtId="1" fontId="4" fillId="33" borderId="0" xfId="0" applyNumberFormat="1" applyFont="1" applyFill="1" applyAlignment="1">
      <alignment/>
    </xf>
    <xf numFmtId="0" fontId="0" fillId="0" borderId="0" xfId="0" applyBorder="1" applyAlignment="1">
      <alignment/>
    </xf>
    <xf numFmtId="0" fontId="2" fillId="33" borderId="0" xfId="0" applyFont="1" applyFill="1" applyBorder="1" applyAlignment="1">
      <alignment horizontal="center"/>
    </xf>
    <xf numFmtId="0" fontId="0" fillId="33" borderId="0" xfId="0" applyFill="1" applyBorder="1" applyAlignment="1">
      <alignment/>
    </xf>
    <xf numFmtId="0" fontId="0" fillId="33" borderId="0" xfId="0" applyFill="1" applyBorder="1" applyAlignment="1">
      <alignment horizontal="center"/>
    </xf>
    <xf numFmtId="0" fontId="9" fillId="0" borderId="0" xfId="0" applyFont="1" applyBorder="1" applyAlignment="1">
      <alignment/>
    </xf>
    <xf numFmtId="0" fontId="0" fillId="0" borderId="0" xfId="0" applyFill="1" applyBorder="1" applyAlignment="1">
      <alignment/>
    </xf>
    <xf numFmtId="165" fontId="6" fillId="33" borderId="0" xfId="0" applyNumberFormat="1" applyFont="1" applyFill="1" applyBorder="1" applyAlignment="1" applyProtection="1">
      <alignment horizontal="left" vertical="center"/>
      <protection locked="0"/>
    </xf>
    <xf numFmtId="0" fontId="4" fillId="33" borderId="0" xfId="0" applyFont="1" applyFill="1" applyBorder="1" applyAlignment="1">
      <alignment/>
    </xf>
    <xf numFmtId="0" fontId="4" fillId="33" borderId="0" xfId="0" applyFont="1" applyFill="1" applyBorder="1" applyAlignment="1">
      <alignment vertical="center"/>
    </xf>
    <xf numFmtId="0" fontId="0" fillId="0" borderId="0" xfId="0" applyFill="1" applyAlignment="1">
      <alignment/>
    </xf>
    <xf numFmtId="0" fontId="3" fillId="34" borderId="13" xfId="0" applyFont="1" applyFill="1" applyBorder="1" applyAlignment="1">
      <alignment horizontal="center"/>
    </xf>
    <xf numFmtId="1" fontId="4" fillId="34" borderId="12" xfId="0" applyNumberFormat="1" applyFont="1" applyFill="1" applyBorder="1" applyAlignment="1">
      <alignment horizontal="center"/>
    </xf>
    <xf numFmtId="0" fontId="3" fillId="35" borderId="13" xfId="0" applyFont="1" applyFill="1" applyBorder="1" applyAlignment="1">
      <alignment horizontal="center"/>
    </xf>
    <xf numFmtId="1" fontId="4" fillId="35" borderId="12" xfId="0" applyNumberFormat="1" applyFont="1" applyFill="1" applyBorder="1" applyAlignment="1">
      <alignment horizontal="center"/>
    </xf>
    <xf numFmtId="0" fontId="3" fillId="36" borderId="12" xfId="0" applyFont="1" applyFill="1" applyBorder="1" applyAlignment="1">
      <alignment horizontal="center"/>
    </xf>
    <xf numFmtId="1" fontId="4" fillId="36" borderId="13" xfId="0" applyNumberFormat="1" applyFont="1" applyFill="1" applyBorder="1" applyAlignment="1">
      <alignment horizontal="center"/>
    </xf>
    <xf numFmtId="1" fontId="4" fillId="36" borderId="12" xfId="0" applyNumberFormat="1" applyFont="1" applyFill="1" applyBorder="1" applyAlignment="1">
      <alignment horizontal="center"/>
    </xf>
    <xf numFmtId="0" fontId="3" fillId="37" borderId="13" xfId="0" applyFont="1" applyFill="1" applyBorder="1" applyAlignment="1">
      <alignment horizontal="center"/>
    </xf>
    <xf numFmtId="0" fontId="11" fillId="33" borderId="0" xfId="0" applyFont="1" applyFill="1" applyBorder="1" applyAlignment="1">
      <alignment horizontal="left"/>
    </xf>
    <xf numFmtId="0" fontId="0" fillId="0" borderId="0" xfId="0" applyBorder="1" applyAlignment="1">
      <alignment/>
    </xf>
    <xf numFmtId="0" fontId="0" fillId="0" borderId="0" xfId="0" applyBorder="1" applyAlignment="1">
      <alignment vertical="center"/>
    </xf>
    <xf numFmtId="0" fontId="4" fillId="33" borderId="0" xfId="0" applyFont="1" applyFill="1" applyBorder="1" applyAlignment="1">
      <alignment horizontal="center"/>
    </xf>
    <xf numFmtId="0" fontId="10" fillId="0" borderId="0" xfId="0" applyFont="1" applyBorder="1" applyAlignment="1">
      <alignment horizontal="left"/>
    </xf>
    <xf numFmtId="1" fontId="4" fillId="35" borderId="14" xfId="0" applyNumberFormat="1" applyFont="1" applyFill="1" applyBorder="1" applyAlignment="1">
      <alignment horizontal="center"/>
    </xf>
    <xf numFmtId="0" fontId="3" fillId="37" borderId="11" xfId="0" applyFont="1" applyFill="1" applyBorder="1" applyAlignment="1">
      <alignment horizontal="center"/>
    </xf>
    <xf numFmtId="1" fontId="4" fillId="37" borderId="12" xfId="0" applyNumberFormat="1" applyFont="1" applyFill="1" applyBorder="1" applyAlignment="1">
      <alignment horizontal="center"/>
    </xf>
    <xf numFmtId="0" fontId="3" fillId="34" borderId="0" xfId="0" applyFont="1" applyFill="1" applyBorder="1" applyAlignment="1">
      <alignment horizontal="center"/>
    </xf>
    <xf numFmtId="164" fontId="4" fillId="34" borderId="14" xfId="0" applyNumberFormat="1" applyFont="1" applyFill="1" applyBorder="1" applyAlignment="1">
      <alignment horizontal="center"/>
    </xf>
    <xf numFmtId="164" fontId="4" fillId="35" borderId="12" xfId="0" applyNumberFormat="1" applyFont="1" applyFill="1" applyBorder="1" applyAlignment="1">
      <alignment horizontal="center"/>
    </xf>
    <xf numFmtId="164" fontId="4" fillId="37" borderId="12" xfId="0" applyNumberFormat="1" applyFont="1" applyFill="1" applyBorder="1" applyAlignment="1">
      <alignment/>
    </xf>
    <xf numFmtId="1" fontId="3" fillId="37" borderId="12" xfId="0" applyNumberFormat="1" applyFont="1" applyFill="1" applyBorder="1" applyAlignment="1">
      <alignment horizontal="center"/>
    </xf>
    <xf numFmtId="0" fontId="3" fillId="38" borderId="13" xfId="0" applyFont="1" applyFill="1" applyBorder="1" applyAlignment="1">
      <alignment horizontal="center"/>
    </xf>
    <xf numFmtId="164" fontId="4" fillId="38" borderId="12" xfId="0" applyNumberFormat="1" applyFont="1" applyFill="1" applyBorder="1" applyAlignment="1">
      <alignment horizontal="center"/>
    </xf>
    <xf numFmtId="0" fontId="11" fillId="37" borderId="11" xfId="0" applyFont="1" applyFill="1" applyBorder="1" applyAlignment="1">
      <alignment vertical="center" wrapText="1"/>
    </xf>
    <xf numFmtId="0" fontId="3" fillId="33" borderId="15" xfId="0" applyFont="1" applyFill="1" applyBorder="1" applyAlignment="1">
      <alignment horizontal="center"/>
    </xf>
    <xf numFmtId="0" fontId="3" fillId="36" borderId="13" xfId="0" applyFont="1" applyFill="1" applyBorder="1" applyAlignment="1">
      <alignment horizontal="center"/>
    </xf>
    <xf numFmtId="0" fontId="3" fillId="37" borderId="15" xfId="0" applyFont="1" applyFill="1" applyBorder="1" applyAlignment="1">
      <alignment horizontal="center"/>
    </xf>
    <xf numFmtId="0" fontId="3" fillId="34" borderId="15" xfId="0" applyFont="1" applyFill="1" applyBorder="1" applyAlignment="1">
      <alignment horizontal="center"/>
    </xf>
    <xf numFmtId="0" fontId="3" fillId="35" borderId="15" xfId="0" applyFont="1" applyFill="1" applyBorder="1" applyAlignment="1">
      <alignment horizontal="center"/>
    </xf>
    <xf numFmtId="0" fontId="0" fillId="35" borderId="15" xfId="0" applyFill="1" applyBorder="1" applyAlignment="1">
      <alignment horizontal="center" vertical="center" wrapText="1"/>
    </xf>
    <xf numFmtId="164" fontId="0" fillId="38" borderId="15" xfId="0" applyNumberFormat="1" applyFill="1" applyBorder="1" applyAlignment="1">
      <alignment horizontal="center" vertical="center" wrapText="1"/>
    </xf>
    <xf numFmtId="0" fontId="13" fillId="0" borderId="12" xfId="0" applyFont="1" applyBorder="1" applyAlignment="1">
      <alignment vertical="center" wrapText="1"/>
    </xf>
    <xf numFmtId="0" fontId="14" fillId="0" borderId="12" xfId="0" applyFont="1" applyBorder="1" applyAlignment="1">
      <alignment vertical="center" wrapText="1"/>
    </xf>
    <xf numFmtId="0" fontId="15" fillId="0" borderId="0" xfId="0" applyFont="1" applyAlignment="1">
      <alignment vertical="center"/>
    </xf>
    <xf numFmtId="0" fontId="0" fillId="34" borderId="12" xfId="0" applyFill="1" applyBorder="1" applyAlignment="1">
      <alignment horizontal="center" vertical="center" wrapText="1"/>
    </xf>
    <xf numFmtId="0" fontId="13" fillId="0" borderId="12" xfId="0" applyFont="1" applyBorder="1" applyAlignment="1">
      <alignment horizontal="center" vertical="center" wrapText="1"/>
    </xf>
    <xf numFmtId="164" fontId="23" fillId="0" borderId="12" xfId="0" applyNumberFormat="1" applyFont="1" applyBorder="1" applyAlignment="1">
      <alignment vertical="center" wrapText="1"/>
    </xf>
    <xf numFmtId="164" fontId="13" fillId="0" borderId="12" xfId="0" applyNumberFormat="1" applyFont="1" applyBorder="1" applyAlignment="1">
      <alignment horizontal="center" vertical="center" wrapText="1"/>
    </xf>
    <xf numFmtId="164" fontId="24" fillId="0" borderId="12" xfId="0" applyNumberFormat="1" applyFont="1" applyBorder="1" applyAlignment="1">
      <alignment vertical="center" wrapText="1"/>
    </xf>
    <xf numFmtId="0" fontId="3" fillId="0" borderId="0" xfId="0" applyFont="1" applyAlignment="1">
      <alignment/>
    </xf>
    <xf numFmtId="0" fontId="3" fillId="33" borderId="16" xfId="0" applyFont="1" applyFill="1" applyBorder="1" applyAlignment="1">
      <alignment horizontal="center"/>
    </xf>
    <xf numFmtId="0" fontId="3" fillId="35" borderId="15" xfId="0" applyFont="1" applyFill="1" applyBorder="1" applyAlignment="1" applyProtection="1">
      <alignment horizontal="center"/>
      <protection/>
    </xf>
    <xf numFmtId="0" fontId="3" fillId="34" borderId="15" xfId="0" applyFont="1" applyFill="1" applyBorder="1" applyAlignment="1" applyProtection="1">
      <alignment horizontal="center"/>
      <protection/>
    </xf>
    <xf numFmtId="0" fontId="3" fillId="34" borderId="17" xfId="0" applyFont="1" applyFill="1" applyBorder="1" applyAlignment="1" applyProtection="1">
      <alignment horizontal="center"/>
      <protection/>
    </xf>
    <xf numFmtId="0" fontId="3" fillId="33" borderId="18" xfId="0" applyFont="1" applyFill="1" applyBorder="1" applyAlignment="1" applyProtection="1">
      <alignment horizontal="left"/>
      <protection/>
    </xf>
    <xf numFmtId="0" fontId="4" fillId="35" borderId="19" xfId="0" applyFont="1" applyFill="1" applyBorder="1" applyAlignment="1" applyProtection="1">
      <alignment horizontal="center"/>
      <protection/>
    </xf>
    <xf numFmtId="0" fontId="4" fillId="34" borderId="19" xfId="0" applyFont="1" applyFill="1" applyBorder="1" applyAlignment="1" applyProtection="1">
      <alignment horizontal="center"/>
      <protection/>
    </xf>
    <xf numFmtId="0" fontId="4" fillId="34" borderId="20" xfId="0" applyFont="1" applyFill="1" applyBorder="1" applyAlignment="1" applyProtection="1">
      <alignment horizontal="center"/>
      <protection/>
    </xf>
    <xf numFmtId="0" fontId="17" fillId="33" borderId="0" xfId="0" applyFont="1" applyFill="1" applyBorder="1" applyAlignment="1">
      <alignment/>
    </xf>
    <xf numFmtId="0" fontId="17" fillId="33" borderId="0" xfId="0" applyFont="1" applyFill="1" applyAlignment="1">
      <alignment/>
    </xf>
    <xf numFmtId="0" fontId="4" fillId="33" borderId="18" xfId="0" applyFont="1" applyFill="1" applyBorder="1" applyAlignment="1" applyProtection="1">
      <alignment horizontal="left"/>
      <protection/>
    </xf>
    <xf numFmtId="0" fontId="18" fillId="33" borderId="0" xfId="0" applyFont="1" applyFill="1" applyBorder="1" applyAlignment="1">
      <alignment horizontal="center"/>
    </xf>
    <xf numFmtId="0" fontId="3" fillId="39" borderId="21" xfId="0" applyFont="1" applyFill="1" applyBorder="1" applyAlignment="1" applyProtection="1">
      <alignment horizontal="center"/>
      <protection/>
    </xf>
    <xf numFmtId="0" fontId="3" fillId="35" borderId="19" xfId="0" applyFont="1" applyFill="1" applyBorder="1" applyAlignment="1" applyProtection="1">
      <alignment horizontal="center"/>
      <protection/>
    </xf>
    <xf numFmtId="0" fontId="3" fillId="34" borderId="19" xfId="0" applyFont="1" applyFill="1" applyBorder="1" applyAlignment="1" applyProtection="1">
      <alignment horizontal="center"/>
      <protection/>
    </xf>
    <xf numFmtId="0" fontId="19" fillId="36" borderId="12" xfId="0" applyFont="1" applyFill="1" applyBorder="1" applyAlignment="1">
      <alignment horizontal="center"/>
    </xf>
    <xf numFmtId="0" fontId="17" fillId="33" borderId="12" xfId="0" applyFont="1" applyFill="1" applyBorder="1" applyAlignment="1">
      <alignment horizontal="center"/>
    </xf>
    <xf numFmtId="0" fontId="4" fillId="33" borderId="22" xfId="0" applyFont="1" applyFill="1" applyBorder="1" applyAlignment="1" applyProtection="1">
      <alignment horizontal="center"/>
      <protection/>
    </xf>
    <xf numFmtId="0" fontId="4" fillId="36" borderId="23" xfId="0" applyFont="1" applyFill="1" applyBorder="1" applyAlignment="1">
      <alignment horizontal="center"/>
    </xf>
    <xf numFmtId="164" fontId="4" fillId="36" borderId="23" xfId="0" applyNumberFormat="1" applyFont="1" applyFill="1" applyBorder="1" applyAlignment="1">
      <alignment horizontal="center"/>
    </xf>
    <xf numFmtId="164" fontId="4" fillId="37" borderId="23" xfId="0" applyNumberFormat="1" applyFont="1" applyFill="1" applyBorder="1" applyAlignment="1">
      <alignment horizontal="center"/>
    </xf>
    <xf numFmtId="0" fontId="4" fillId="0" borderId="0" xfId="0" applyFont="1" applyAlignment="1">
      <alignment/>
    </xf>
    <xf numFmtId="0" fontId="3" fillId="33" borderId="12" xfId="0" applyFont="1" applyFill="1" applyBorder="1" applyAlignment="1">
      <alignment/>
    </xf>
    <xf numFmtId="164" fontId="4" fillId="33" borderId="11" xfId="0" applyNumberFormat="1" applyFont="1" applyFill="1" applyBorder="1" applyAlignment="1">
      <alignment/>
    </xf>
    <xf numFmtId="164" fontId="4" fillId="0" borderId="11" xfId="0" applyNumberFormat="1" applyFont="1" applyFill="1" applyBorder="1" applyAlignment="1">
      <alignment/>
    </xf>
    <xf numFmtId="164" fontId="4" fillId="33" borderId="12" xfId="0" applyNumberFormat="1" applyFont="1" applyFill="1" applyBorder="1" applyAlignment="1">
      <alignment/>
    </xf>
    <xf numFmtId="164" fontId="4" fillId="0" borderId="12" xfId="0" applyNumberFormat="1" applyFont="1" applyFill="1" applyBorder="1" applyAlignment="1">
      <alignment/>
    </xf>
    <xf numFmtId="2" fontId="4" fillId="33" borderId="12" xfId="0" applyNumberFormat="1" applyFont="1" applyFill="1" applyBorder="1" applyAlignment="1">
      <alignment/>
    </xf>
    <xf numFmtId="2" fontId="4" fillId="0" borderId="12" xfId="0" applyNumberFormat="1" applyFont="1" applyFill="1" applyBorder="1" applyAlignment="1">
      <alignment/>
    </xf>
    <xf numFmtId="0" fontId="18" fillId="0" borderId="0" xfId="0" applyFont="1" applyAlignment="1">
      <alignment/>
    </xf>
    <xf numFmtId="0" fontId="18" fillId="0" borderId="0" xfId="0" applyFont="1" applyAlignment="1">
      <alignment wrapText="1"/>
    </xf>
    <xf numFmtId="0" fontId="4" fillId="0" borderId="0" xfId="0" applyFont="1" applyAlignment="1">
      <alignment wrapText="1"/>
    </xf>
    <xf numFmtId="0" fontId="4" fillId="40" borderId="0" xfId="0" applyFont="1" applyFill="1" applyAlignment="1">
      <alignment/>
    </xf>
    <xf numFmtId="0" fontId="20" fillId="0" borderId="0" xfId="0" applyFont="1" applyAlignment="1">
      <alignment horizontal="center" vertical="center"/>
    </xf>
    <xf numFmtId="0" fontId="20" fillId="0" borderId="0" xfId="0" applyFont="1" applyAlignment="1">
      <alignment wrapText="1"/>
    </xf>
    <xf numFmtId="0" fontId="3" fillId="0" borderId="12" xfId="0" applyFont="1" applyBorder="1" applyAlignment="1">
      <alignment/>
    </xf>
    <xf numFmtId="0" fontId="3" fillId="0" borderId="12" xfId="0" applyFont="1" applyBorder="1" applyAlignment="1">
      <alignment horizontal="center"/>
    </xf>
    <xf numFmtId="0" fontId="3" fillId="0" borderId="0" xfId="0" applyFont="1" applyBorder="1" applyAlignment="1">
      <alignment horizontal="center"/>
    </xf>
    <xf numFmtId="1" fontId="4" fillId="34" borderId="11" xfId="0" applyNumberFormat="1" applyFont="1" applyFill="1" applyBorder="1" applyAlignment="1">
      <alignment horizontal="right" vertical="top" readingOrder="1"/>
    </xf>
    <xf numFmtId="1" fontId="4" fillId="35" borderId="11" xfId="0" applyNumberFormat="1" applyFont="1" applyFill="1" applyBorder="1" applyAlignment="1">
      <alignment horizontal="right" vertical="top" readingOrder="1"/>
    </xf>
    <xf numFmtId="0" fontId="3" fillId="0" borderId="12" xfId="0" applyFont="1" applyFill="1" applyBorder="1" applyAlignment="1">
      <alignment/>
    </xf>
    <xf numFmtId="1" fontId="4" fillId="34" borderId="11" xfId="0" applyNumberFormat="1" applyFont="1" applyFill="1" applyBorder="1" applyAlignment="1">
      <alignment horizontal="right" vertical="top"/>
    </xf>
    <xf numFmtId="1" fontId="4" fillId="35" borderId="11" xfId="0" applyNumberFormat="1" applyFont="1" applyFill="1" applyBorder="1" applyAlignment="1">
      <alignment horizontal="right" vertical="top"/>
    </xf>
    <xf numFmtId="1" fontId="3" fillId="0" borderId="11" xfId="0" applyNumberFormat="1" applyFont="1" applyFill="1" applyBorder="1" applyAlignment="1">
      <alignment horizontal="left" vertical="top" readingOrder="1"/>
    </xf>
    <xf numFmtId="1" fontId="3" fillId="34" borderId="11" xfId="0" applyNumberFormat="1" applyFont="1" applyFill="1" applyBorder="1" applyAlignment="1">
      <alignment horizontal="right" vertical="top" readingOrder="1"/>
    </xf>
    <xf numFmtId="1" fontId="3" fillId="35" borderId="11" xfId="0" applyNumberFormat="1" applyFont="1" applyFill="1" applyBorder="1" applyAlignment="1">
      <alignment horizontal="right" vertical="top" readingOrder="1"/>
    </xf>
    <xf numFmtId="1" fontId="3" fillId="34" borderId="11" xfId="0" applyNumberFormat="1" applyFont="1" applyFill="1" applyBorder="1" applyAlignment="1">
      <alignment horizontal="right" vertical="top"/>
    </xf>
    <xf numFmtId="1" fontId="3" fillId="35" borderId="11" xfId="0" applyNumberFormat="1" applyFont="1" applyFill="1" applyBorder="1" applyAlignment="1">
      <alignment horizontal="right" vertical="top"/>
    </xf>
    <xf numFmtId="0" fontId="4" fillId="35" borderId="12" xfId="0" applyFont="1" applyFill="1" applyBorder="1" applyAlignment="1">
      <alignment/>
    </xf>
    <xf numFmtId="0" fontId="4" fillId="34" borderId="12" xfId="0" applyFont="1" applyFill="1" applyBorder="1" applyAlignment="1">
      <alignment/>
    </xf>
    <xf numFmtId="0" fontId="4" fillId="33" borderId="12" xfId="0" applyFont="1" applyFill="1" applyBorder="1" applyAlignment="1" applyProtection="1">
      <alignment horizontal="center"/>
      <protection/>
    </xf>
    <xf numFmtId="0" fontId="17" fillId="33" borderId="0" xfId="0" applyFont="1" applyFill="1" applyBorder="1" applyAlignment="1">
      <alignment horizontal="center"/>
    </xf>
    <xf numFmtId="0" fontId="3" fillId="33" borderId="12" xfId="0" applyFont="1" applyFill="1" applyBorder="1" applyAlignment="1">
      <alignment horizontal="center"/>
    </xf>
    <xf numFmtId="0" fontId="3" fillId="41" borderId="13" xfId="0" applyFont="1" applyFill="1" applyBorder="1" applyAlignment="1">
      <alignment horizontal="center"/>
    </xf>
    <xf numFmtId="0" fontId="3" fillId="38" borderId="12" xfId="0" applyFont="1" applyFill="1" applyBorder="1" applyAlignment="1">
      <alignment/>
    </xf>
    <xf numFmtId="0" fontId="3" fillId="33" borderId="24" xfId="0" applyFont="1" applyFill="1" applyBorder="1" applyAlignment="1">
      <alignment horizontal="center"/>
    </xf>
    <xf numFmtId="0" fontId="3" fillId="42" borderId="12" xfId="0" applyFont="1" applyFill="1" applyBorder="1" applyAlignment="1">
      <alignment horizontal="center"/>
    </xf>
    <xf numFmtId="0" fontId="3" fillId="40" borderId="12" xfId="0" applyFont="1" applyFill="1" applyBorder="1" applyAlignment="1">
      <alignment horizontal="center"/>
    </xf>
    <xf numFmtId="0" fontId="3" fillId="37" borderId="12" xfId="0" applyFont="1" applyFill="1" applyBorder="1" applyAlignment="1">
      <alignment horizontal="center"/>
    </xf>
    <xf numFmtId="0" fontId="3" fillId="41" borderId="12" xfId="0" applyFont="1" applyFill="1" applyBorder="1" applyAlignment="1">
      <alignment horizontal="center"/>
    </xf>
    <xf numFmtId="164" fontId="4" fillId="42" borderId="12" xfId="0" applyNumberFormat="1" applyFont="1" applyFill="1" applyBorder="1" applyAlignment="1" applyProtection="1">
      <alignment horizontal="center"/>
      <protection locked="0"/>
    </xf>
    <xf numFmtId="164" fontId="4" fillId="40" borderId="12" xfId="0" applyNumberFormat="1" applyFont="1" applyFill="1" applyBorder="1" applyAlignment="1" applyProtection="1">
      <alignment horizontal="center"/>
      <protection locked="0"/>
    </xf>
    <xf numFmtId="164" fontId="4" fillId="37" borderId="12" xfId="0" applyNumberFormat="1" applyFont="1" applyFill="1" applyBorder="1" applyAlignment="1" applyProtection="1">
      <alignment horizontal="center"/>
      <protection locked="0"/>
    </xf>
    <xf numFmtId="164" fontId="4" fillId="41" borderId="12" xfId="0" applyNumberFormat="1" applyFont="1" applyFill="1" applyBorder="1" applyAlignment="1" applyProtection="1">
      <alignment horizontal="center"/>
      <protection locked="0"/>
    </xf>
    <xf numFmtId="164" fontId="4" fillId="41" borderId="23" xfId="0" applyNumberFormat="1" applyFont="1" applyFill="1" applyBorder="1" applyAlignment="1">
      <alignment horizontal="center"/>
    </xf>
    <xf numFmtId="164" fontId="4" fillId="38" borderId="12" xfId="0" applyNumberFormat="1" applyFont="1" applyFill="1" applyBorder="1" applyAlignment="1">
      <alignment/>
    </xf>
    <xf numFmtId="164" fontId="4" fillId="41" borderId="25" xfId="0" applyNumberFormat="1" applyFont="1" applyFill="1" applyBorder="1" applyAlignment="1">
      <alignment horizontal="center"/>
    </xf>
    <xf numFmtId="164" fontId="4" fillId="41" borderId="26" xfId="0" applyNumberFormat="1" applyFont="1" applyFill="1" applyBorder="1" applyAlignment="1">
      <alignment horizontal="center"/>
    </xf>
    <xf numFmtId="1" fontId="4" fillId="42" borderId="12" xfId="0" applyNumberFormat="1" applyFont="1" applyFill="1" applyBorder="1" applyAlignment="1" applyProtection="1">
      <alignment horizontal="center"/>
      <protection locked="0"/>
    </xf>
    <xf numFmtId="1" fontId="4" fillId="37" borderId="12" xfId="0" applyNumberFormat="1" applyFont="1" applyFill="1" applyBorder="1" applyAlignment="1" applyProtection="1">
      <alignment horizontal="center"/>
      <protection locked="0"/>
    </xf>
    <xf numFmtId="1" fontId="4" fillId="40" borderId="12" xfId="0" applyNumberFormat="1" applyFont="1" applyFill="1" applyBorder="1" applyAlignment="1" applyProtection="1">
      <alignment horizontal="center"/>
      <protection locked="0"/>
    </xf>
    <xf numFmtId="1" fontId="4" fillId="41" borderId="12" xfId="0" applyNumberFormat="1" applyFont="1" applyFill="1" applyBorder="1" applyAlignment="1" applyProtection="1">
      <alignment horizontal="center"/>
      <protection locked="0"/>
    </xf>
    <xf numFmtId="0" fontId="21" fillId="0" borderId="0" xfId="0" applyFont="1" applyAlignment="1">
      <alignment/>
    </xf>
    <xf numFmtId="0" fontId="4" fillId="0" borderId="0" xfId="0" applyFont="1" applyAlignment="1">
      <alignment horizontal="left"/>
    </xf>
    <xf numFmtId="0" fontId="17" fillId="0" borderId="0" xfId="0" applyFont="1" applyAlignment="1">
      <alignment/>
    </xf>
    <xf numFmtId="0" fontId="0" fillId="0" borderId="0" xfId="0" applyFont="1" applyBorder="1" applyAlignment="1">
      <alignment/>
    </xf>
    <xf numFmtId="0" fontId="17" fillId="34" borderId="20" xfId="0" applyFont="1" applyFill="1" applyBorder="1" applyAlignment="1" applyProtection="1">
      <alignment horizontal="center"/>
      <protection/>
    </xf>
    <xf numFmtId="0" fontId="3" fillId="34" borderId="20" xfId="0" applyFont="1" applyFill="1" applyBorder="1" applyAlignment="1" applyProtection="1">
      <alignment horizontal="center"/>
      <protection/>
    </xf>
    <xf numFmtId="0" fontId="22" fillId="0" borderId="0" xfId="0" applyFont="1" applyAlignment="1">
      <alignment/>
    </xf>
    <xf numFmtId="0" fontId="22" fillId="0" borderId="12" xfId="0" applyFont="1" applyBorder="1" applyAlignment="1">
      <alignment/>
    </xf>
    <xf numFmtId="0" fontId="22" fillId="0" borderId="12" xfId="0" applyFont="1" applyBorder="1" applyAlignment="1">
      <alignment wrapText="1"/>
    </xf>
    <xf numFmtId="14" fontId="0" fillId="0" borderId="12" xfId="0" applyNumberFormat="1" applyBorder="1" applyAlignment="1">
      <alignment/>
    </xf>
    <xf numFmtId="0" fontId="0" fillId="0" borderId="12" xfId="0" applyFont="1" applyBorder="1" applyAlignment="1">
      <alignment wrapText="1"/>
    </xf>
    <xf numFmtId="0" fontId="0" fillId="0" borderId="12" xfId="0" applyBorder="1" applyAlignment="1">
      <alignment/>
    </xf>
    <xf numFmtId="0" fontId="0" fillId="0" borderId="12" xfId="0" applyBorder="1" applyAlignment="1">
      <alignment wrapText="1"/>
    </xf>
    <xf numFmtId="0" fontId="0" fillId="0" borderId="12" xfId="0" applyFont="1" applyBorder="1" applyAlignment="1">
      <alignment vertical="top" wrapText="1"/>
    </xf>
    <xf numFmtId="14" fontId="0" fillId="0" borderId="12" xfId="0" applyNumberFormat="1" applyBorder="1" applyAlignment="1">
      <alignment vertical="top" wrapText="1"/>
    </xf>
    <xf numFmtId="0" fontId="14" fillId="0" borderId="0" xfId="0" applyFont="1" applyBorder="1" applyAlignment="1">
      <alignment vertical="center" wrapText="1"/>
    </xf>
    <xf numFmtId="164" fontId="23" fillId="0" borderId="0" xfId="0" applyNumberFormat="1" applyFont="1" applyBorder="1" applyAlignment="1">
      <alignment vertical="center" wrapText="1"/>
    </xf>
    <xf numFmtId="0" fontId="3" fillId="38" borderId="12" xfId="0" applyFont="1" applyFill="1" applyBorder="1" applyAlignment="1">
      <alignment horizontal="center"/>
    </xf>
    <xf numFmtId="0" fontId="3" fillId="43" borderId="12" xfId="0" applyFont="1" applyFill="1" applyBorder="1" applyAlignment="1">
      <alignment horizontal="center"/>
    </xf>
    <xf numFmtId="164" fontId="4" fillId="43" borderId="12" xfId="0" applyNumberFormat="1" applyFont="1" applyFill="1" applyBorder="1" applyAlignment="1" applyProtection="1">
      <alignment horizontal="center"/>
      <protection locked="0"/>
    </xf>
    <xf numFmtId="0" fontId="3" fillId="8" borderId="12" xfId="0" applyFont="1" applyFill="1" applyBorder="1" applyAlignment="1">
      <alignment horizontal="center"/>
    </xf>
    <xf numFmtId="164" fontId="4" fillId="8" borderId="12" xfId="0" applyNumberFormat="1" applyFont="1" applyFill="1" applyBorder="1" applyAlignment="1" applyProtection="1">
      <alignment horizontal="center"/>
      <protection locked="0"/>
    </xf>
    <xf numFmtId="0" fontId="3" fillId="9" borderId="12" xfId="0" applyFont="1" applyFill="1" applyBorder="1" applyAlignment="1">
      <alignment horizontal="center"/>
    </xf>
    <xf numFmtId="164" fontId="4" fillId="9" borderId="12" xfId="0" applyNumberFormat="1" applyFont="1" applyFill="1" applyBorder="1" applyAlignment="1" applyProtection="1">
      <alignment horizontal="center"/>
      <protection locked="0"/>
    </xf>
    <xf numFmtId="0" fontId="3" fillId="10" borderId="12" xfId="0" applyFont="1" applyFill="1" applyBorder="1" applyAlignment="1">
      <alignment horizontal="center"/>
    </xf>
    <xf numFmtId="164" fontId="4" fillId="10" borderId="12" xfId="0" applyNumberFormat="1" applyFont="1" applyFill="1" applyBorder="1" applyAlignment="1" applyProtection="1">
      <alignment horizontal="center"/>
      <protection locked="0"/>
    </xf>
    <xf numFmtId="0" fontId="3" fillId="11" borderId="12" xfId="0" applyFont="1" applyFill="1" applyBorder="1" applyAlignment="1">
      <alignment horizontal="center"/>
    </xf>
    <xf numFmtId="164" fontId="4" fillId="11" borderId="12" xfId="0" applyNumberFormat="1" applyFont="1" applyFill="1" applyBorder="1" applyAlignment="1" applyProtection="1">
      <alignment horizontal="center"/>
      <protection locked="0"/>
    </xf>
    <xf numFmtId="0" fontId="3" fillId="12" borderId="12" xfId="0" applyFont="1" applyFill="1" applyBorder="1" applyAlignment="1">
      <alignment horizontal="center"/>
    </xf>
    <xf numFmtId="164" fontId="4" fillId="12" borderId="12" xfId="0" applyNumberFormat="1" applyFont="1" applyFill="1" applyBorder="1" applyAlignment="1" applyProtection="1">
      <alignment horizontal="center"/>
      <protection locked="0"/>
    </xf>
    <xf numFmtId="0" fontId="4" fillId="0" borderId="0" xfId="0" applyFont="1" applyAlignment="1">
      <alignment horizontal="center" vertical="center"/>
    </xf>
    <xf numFmtId="0" fontId="4" fillId="0" borderId="0" xfId="0" applyFont="1" applyAlignment="1">
      <alignment/>
    </xf>
    <xf numFmtId="0" fontId="19" fillId="37" borderId="12" xfId="0" applyFont="1" applyFill="1" applyBorder="1" applyAlignment="1">
      <alignment horizontal="center" wrapText="1"/>
    </xf>
    <xf numFmtId="0" fontId="4" fillId="0" borderId="12" xfId="0" applyFont="1" applyBorder="1" applyAlignment="1">
      <alignment horizontal="center" wrapText="1"/>
    </xf>
    <xf numFmtId="0" fontId="4" fillId="36" borderId="12" xfId="0" applyFont="1" applyFill="1" applyBorder="1" applyAlignment="1">
      <alignment horizontal="center"/>
    </xf>
    <xf numFmtId="0" fontId="3" fillId="35" borderId="13" xfId="0" applyFont="1" applyFill="1" applyBorder="1" applyAlignment="1">
      <alignment horizontal="left" vertical="top" textRotation="180"/>
    </xf>
    <xf numFmtId="0" fontId="3" fillId="35" borderId="15" xfId="0" applyFont="1" applyFill="1" applyBorder="1" applyAlignment="1">
      <alignment horizontal="left" vertical="top" textRotation="180"/>
    </xf>
    <xf numFmtId="0" fontId="3" fillId="35" borderId="11" xfId="0" applyFont="1" applyFill="1" applyBorder="1" applyAlignment="1">
      <alignment horizontal="left" vertical="top" textRotation="180"/>
    </xf>
    <xf numFmtId="0" fontId="3" fillId="0" borderId="13" xfId="0" applyFont="1" applyFill="1" applyBorder="1" applyAlignment="1">
      <alignment horizontal="left" vertical="top" textRotation="180"/>
    </xf>
    <xf numFmtId="0" fontId="3" fillId="0" borderId="15" xfId="0" applyFont="1" applyFill="1" applyBorder="1" applyAlignment="1">
      <alignment horizontal="left" vertical="top" textRotation="180"/>
    </xf>
    <xf numFmtId="0" fontId="3" fillId="0" borderId="11" xfId="0" applyFont="1" applyFill="1" applyBorder="1" applyAlignment="1">
      <alignment horizontal="left" vertical="top" textRotation="180"/>
    </xf>
    <xf numFmtId="0" fontId="3" fillId="0" borderId="14" xfId="0" applyFont="1" applyBorder="1" applyAlignment="1">
      <alignment horizontal="center"/>
    </xf>
    <xf numFmtId="0" fontId="3" fillId="0" borderId="27" xfId="0" applyFont="1" applyBorder="1" applyAlignment="1">
      <alignment horizontal="center"/>
    </xf>
    <xf numFmtId="0" fontId="3" fillId="0" borderId="24" xfId="0" applyFont="1" applyBorder="1" applyAlignment="1">
      <alignment horizontal="center"/>
    </xf>
    <xf numFmtId="0" fontId="3" fillId="34" borderId="13" xfId="0" applyFont="1" applyFill="1" applyBorder="1" applyAlignment="1">
      <alignment horizontal="left" vertical="top" textRotation="180"/>
    </xf>
    <xf numFmtId="0" fontId="3" fillId="34" borderId="15" xfId="0" applyFont="1" applyFill="1" applyBorder="1" applyAlignment="1">
      <alignment horizontal="left" vertical="top" textRotation="180"/>
    </xf>
    <xf numFmtId="0" fontId="3" fillId="34" borderId="11" xfId="0" applyFont="1" applyFill="1" applyBorder="1" applyAlignment="1">
      <alignment horizontal="left" vertical="top" textRotation="180"/>
    </xf>
    <xf numFmtId="0" fontId="3" fillId="37" borderId="10" xfId="0" applyFont="1" applyFill="1" applyBorder="1" applyAlignment="1">
      <alignment horizontal="center"/>
    </xf>
    <xf numFmtId="0" fontId="3" fillId="37" borderId="28" xfId="0" applyFont="1" applyFill="1" applyBorder="1" applyAlignment="1">
      <alignment horizontal="center"/>
    </xf>
    <xf numFmtId="0" fontId="3" fillId="37" borderId="29" xfId="0" applyFont="1" applyFill="1" applyBorder="1" applyAlignment="1">
      <alignment horizontal="center"/>
    </xf>
    <xf numFmtId="0" fontId="18" fillId="33" borderId="30" xfId="0" applyFont="1" applyFill="1" applyBorder="1" applyAlignment="1">
      <alignment horizontal="center"/>
    </xf>
    <xf numFmtId="0" fontId="18" fillId="33" borderId="0" xfId="0" applyFont="1" applyFill="1" applyBorder="1" applyAlignment="1">
      <alignment horizontal="center"/>
    </xf>
    <xf numFmtId="0" fontId="3" fillId="12" borderId="14" xfId="0" applyFont="1" applyFill="1" applyBorder="1" applyAlignment="1">
      <alignment horizontal="center"/>
    </xf>
    <xf numFmtId="0" fontId="3" fillId="12" borderId="27" xfId="0" applyFont="1" applyFill="1" applyBorder="1" applyAlignment="1">
      <alignment horizontal="center"/>
    </xf>
    <xf numFmtId="0" fontId="3" fillId="12" borderId="24" xfId="0" applyFont="1" applyFill="1" applyBorder="1" applyAlignment="1">
      <alignment horizontal="center"/>
    </xf>
    <xf numFmtId="0" fontId="3" fillId="11" borderId="14" xfId="0" applyFont="1" applyFill="1" applyBorder="1" applyAlignment="1">
      <alignment horizontal="center"/>
    </xf>
    <xf numFmtId="0" fontId="3" fillId="11" borderId="27" xfId="0" applyFont="1" applyFill="1" applyBorder="1" applyAlignment="1">
      <alignment horizontal="center"/>
    </xf>
    <xf numFmtId="0" fontId="3" fillId="11" borderId="24" xfId="0" applyFont="1" applyFill="1" applyBorder="1" applyAlignment="1">
      <alignment horizontal="center"/>
    </xf>
    <xf numFmtId="0" fontId="3" fillId="10" borderId="14" xfId="0" applyFont="1" applyFill="1" applyBorder="1" applyAlignment="1">
      <alignment horizontal="center"/>
    </xf>
    <xf numFmtId="0" fontId="3" fillId="10" borderId="27" xfId="0" applyFont="1" applyFill="1" applyBorder="1" applyAlignment="1">
      <alignment horizontal="center"/>
    </xf>
    <xf numFmtId="0" fontId="3" fillId="10" borderId="24" xfId="0" applyFont="1" applyFill="1" applyBorder="1" applyAlignment="1">
      <alignment horizontal="center"/>
    </xf>
    <xf numFmtId="0" fontId="3" fillId="9" borderId="14" xfId="0" applyFont="1" applyFill="1" applyBorder="1" applyAlignment="1">
      <alignment horizontal="center"/>
    </xf>
    <xf numFmtId="0" fontId="3" fillId="9" borderId="27" xfId="0" applyFont="1" applyFill="1" applyBorder="1" applyAlignment="1">
      <alignment horizontal="center"/>
    </xf>
    <xf numFmtId="0" fontId="3" fillId="9" borderId="24" xfId="0" applyFont="1" applyFill="1" applyBorder="1" applyAlignment="1">
      <alignment horizontal="center"/>
    </xf>
    <xf numFmtId="0" fontId="3" fillId="8" borderId="14" xfId="0" applyFont="1" applyFill="1" applyBorder="1" applyAlignment="1">
      <alignment horizontal="center"/>
    </xf>
    <xf numFmtId="0" fontId="3" fillId="8" borderId="27" xfId="0" applyFont="1" applyFill="1" applyBorder="1" applyAlignment="1">
      <alignment horizontal="center"/>
    </xf>
    <xf numFmtId="0" fontId="3" fillId="8" borderId="24" xfId="0" applyFont="1" applyFill="1" applyBorder="1" applyAlignment="1">
      <alignment horizontal="center"/>
    </xf>
    <xf numFmtId="0" fontId="3" fillId="43" borderId="14" xfId="0" applyFont="1" applyFill="1" applyBorder="1" applyAlignment="1">
      <alignment horizontal="center"/>
    </xf>
    <xf numFmtId="0" fontId="3" fillId="43" borderId="27" xfId="0" applyFont="1" applyFill="1" applyBorder="1" applyAlignment="1">
      <alignment horizontal="center"/>
    </xf>
    <xf numFmtId="0" fontId="3" fillId="43" borderId="24" xfId="0" applyFont="1" applyFill="1" applyBorder="1" applyAlignment="1">
      <alignment horizontal="center"/>
    </xf>
    <xf numFmtId="0" fontId="3" fillId="41" borderId="14" xfId="0" applyFont="1" applyFill="1" applyBorder="1" applyAlignment="1">
      <alignment horizontal="left"/>
    </xf>
    <xf numFmtId="0" fontId="0" fillId="41" borderId="24" xfId="0" applyFill="1" applyBorder="1" applyAlignment="1">
      <alignment horizontal="left"/>
    </xf>
    <xf numFmtId="0" fontId="8" fillId="33" borderId="0" xfId="0" applyFont="1" applyFill="1" applyBorder="1" applyAlignment="1">
      <alignment vertical="center"/>
    </xf>
    <xf numFmtId="0" fontId="0" fillId="0" borderId="0" xfId="0" applyBorder="1" applyAlignment="1">
      <alignment vertical="center"/>
    </xf>
    <xf numFmtId="0" fontId="11" fillId="37" borderId="13" xfId="0" applyFont="1" applyFill="1" applyBorder="1" applyAlignment="1">
      <alignment horizontal="center" vertical="center" wrapText="1"/>
    </xf>
    <xf numFmtId="0" fontId="11" fillId="37" borderId="11" xfId="0" applyFont="1" applyFill="1" applyBorder="1" applyAlignment="1">
      <alignment horizontal="center" vertical="center" wrapText="1"/>
    </xf>
    <xf numFmtId="164" fontId="3" fillId="38" borderId="13" xfId="0" applyNumberFormat="1" applyFont="1" applyFill="1" applyBorder="1" applyAlignment="1">
      <alignment horizontal="center" vertical="center" wrapText="1"/>
    </xf>
    <xf numFmtId="164" fontId="0" fillId="38" borderId="11" xfId="0" applyNumberFormat="1" applyFill="1" applyBorder="1" applyAlignment="1">
      <alignment horizontal="center" vertical="center" wrapText="1"/>
    </xf>
    <xf numFmtId="0" fontId="11" fillId="33" borderId="0" xfId="0" applyFont="1" applyFill="1" applyBorder="1" applyAlignment="1">
      <alignment vertical="center" wrapText="1"/>
    </xf>
    <xf numFmtId="0" fontId="12" fillId="0" borderId="0" xfId="0" applyFont="1" applyBorder="1" applyAlignment="1">
      <alignment vertical="center" wrapText="1"/>
    </xf>
    <xf numFmtId="0" fontId="0" fillId="0" borderId="0" xfId="0" applyBorder="1" applyAlignment="1">
      <alignment vertical="center" wrapText="1"/>
    </xf>
    <xf numFmtId="0" fontId="11" fillId="33" borderId="0" xfId="0" applyFont="1" applyFill="1" applyBorder="1" applyAlignment="1">
      <alignment horizontal="left"/>
    </xf>
    <xf numFmtId="0" fontId="0" fillId="0" borderId="0" xfId="0" applyAlignment="1">
      <alignment/>
    </xf>
    <xf numFmtId="0" fontId="3" fillId="34" borderId="13" xfId="0" applyFont="1" applyFill="1" applyBorder="1" applyAlignment="1">
      <alignment horizontal="center" vertical="center" wrapText="1"/>
    </xf>
    <xf numFmtId="0" fontId="0" fillId="34" borderId="11" xfId="0" applyFill="1" applyBorder="1" applyAlignment="1">
      <alignment horizontal="center" vertical="center" wrapText="1"/>
    </xf>
    <xf numFmtId="0" fontId="3" fillId="35" borderId="13" xfId="0" applyFont="1" applyFill="1" applyBorder="1" applyAlignment="1">
      <alignment horizontal="center" vertical="center" wrapText="1"/>
    </xf>
    <xf numFmtId="0" fontId="0" fillId="35" borderId="11" xfId="0" applyFill="1" applyBorder="1" applyAlignment="1">
      <alignment horizontal="center" vertical="center" wrapText="1"/>
    </xf>
    <xf numFmtId="0" fontId="3" fillId="41" borderId="10" xfId="0" applyFont="1" applyFill="1" applyBorder="1" applyAlignment="1">
      <alignment horizontal="center" vertical="center" wrapText="1"/>
    </xf>
    <xf numFmtId="0" fontId="3" fillId="41" borderId="28" xfId="0" applyFont="1" applyFill="1" applyBorder="1" applyAlignment="1">
      <alignment horizontal="center" vertical="center" wrapText="1"/>
    </xf>
    <xf numFmtId="0" fontId="0" fillId="41" borderId="28" xfId="0" applyFill="1" applyBorder="1" applyAlignment="1">
      <alignment horizontal="center" vertical="center" wrapText="1"/>
    </xf>
    <xf numFmtId="0" fontId="0" fillId="41" borderId="29" xfId="0" applyFill="1" applyBorder="1" applyAlignment="1">
      <alignment horizontal="center" vertical="center" wrapText="1"/>
    </xf>
    <xf numFmtId="0" fontId="5" fillId="44" borderId="14" xfId="0" applyFont="1" applyFill="1" applyBorder="1" applyAlignment="1">
      <alignment horizontal="center" vertical="center" wrapText="1"/>
    </xf>
    <xf numFmtId="0" fontId="3" fillId="44" borderId="27" xfId="0" applyFont="1" applyFill="1" applyBorder="1" applyAlignment="1">
      <alignment horizontal="center" vertical="center" wrapText="1"/>
    </xf>
    <xf numFmtId="0" fontId="0" fillId="44" borderId="24" xfId="0" applyFill="1" applyBorder="1" applyAlignment="1">
      <alignment horizontal="center" vertical="center" wrapText="1"/>
    </xf>
    <xf numFmtId="0" fontId="3" fillId="44" borderId="14" xfId="0" applyFont="1" applyFill="1" applyBorder="1" applyAlignment="1">
      <alignment horizontal="center"/>
    </xf>
    <xf numFmtId="0" fontId="0" fillId="44" borderId="24" xfId="0" applyFill="1" applyBorder="1" applyAlignment="1">
      <alignment horizontal="center"/>
    </xf>
    <xf numFmtId="0" fontId="4" fillId="33" borderId="0" xfId="0" applyFont="1" applyFill="1" applyBorder="1" applyAlignment="1">
      <alignment horizontal="center"/>
    </xf>
    <xf numFmtId="14" fontId="6" fillId="33" borderId="0" xfId="0" applyNumberFormat="1" applyFont="1" applyFill="1" applyBorder="1" applyAlignment="1">
      <alignment horizontal="left"/>
    </xf>
    <xf numFmtId="0" fontId="10" fillId="0" borderId="0" xfId="0" applyFont="1" applyBorder="1" applyAlignment="1">
      <alignment horizontal="left"/>
    </xf>
    <xf numFmtId="0" fontId="5" fillId="36" borderId="14" xfId="0" applyFont="1" applyFill="1" applyBorder="1" applyAlignment="1">
      <alignment horizontal="center" vertical="center" wrapText="1"/>
    </xf>
    <xf numFmtId="0" fontId="3" fillId="36" borderId="27" xfId="0" applyFont="1" applyFill="1" applyBorder="1" applyAlignment="1">
      <alignment horizontal="center" vertical="center" wrapText="1"/>
    </xf>
    <xf numFmtId="0" fontId="0" fillId="36" borderId="27" xfId="0" applyFill="1" applyBorder="1" applyAlignment="1">
      <alignment horizontal="center" vertical="center" wrapText="1"/>
    </xf>
    <xf numFmtId="0" fontId="0" fillId="36" borderId="24" xfId="0" applyFill="1" applyBorder="1" applyAlignment="1">
      <alignment horizontal="center" vertical="center" wrapText="1"/>
    </xf>
    <xf numFmtId="0" fontId="11" fillId="33" borderId="0" xfId="0" applyFont="1" applyFill="1" applyBorder="1" applyAlignment="1">
      <alignment horizontal="left" vertical="center"/>
    </xf>
    <xf numFmtId="0" fontId="0" fillId="0" borderId="0" xfId="0" applyBorder="1" applyAlignment="1">
      <alignment/>
    </xf>
    <xf numFmtId="0" fontId="6" fillId="33" borderId="0" xfId="0" applyFont="1" applyFill="1" applyBorder="1" applyAlignment="1" applyProtection="1">
      <alignment horizontal="left" vertical="center"/>
      <protection locked="0"/>
    </xf>
    <xf numFmtId="0" fontId="17" fillId="33" borderId="30" xfId="0" applyFont="1" applyFill="1" applyBorder="1" applyAlignment="1">
      <alignment horizontal="center"/>
    </xf>
    <xf numFmtId="0" fontId="3" fillId="37" borderId="31" xfId="0" applyFont="1" applyFill="1" applyBorder="1" applyAlignment="1">
      <alignment horizontal="center"/>
    </xf>
    <xf numFmtId="0" fontId="3" fillId="37" borderId="32" xfId="0" applyFont="1" applyFill="1" applyBorder="1" applyAlignment="1">
      <alignment horizontal="center"/>
    </xf>
    <xf numFmtId="0" fontId="3" fillId="37" borderId="33" xfId="0" applyFont="1" applyFill="1" applyBorder="1" applyAlignment="1">
      <alignment horizontal="center"/>
    </xf>
    <xf numFmtId="0" fontId="4" fillId="0" borderId="0" xfId="0" applyFont="1" applyAlignment="1">
      <alignment/>
    </xf>
    <xf numFmtId="0" fontId="3" fillId="0" borderId="0" xfId="0" applyFont="1" applyAlignment="1">
      <alignment/>
    </xf>
    <xf numFmtId="0" fontId="16" fillId="0" borderId="0" xfId="0" applyFont="1" applyAlignment="1">
      <alignment/>
    </xf>
    <xf numFmtId="0" fontId="14" fillId="0" borderId="0" xfId="0" applyFont="1" applyAlignment="1">
      <alignment horizontal="left" vertical="center" indent="1"/>
    </xf>
    <xf numFmtId="0" fontId="16"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4" fillId="0" borderId="0" xfId="0" applyFont="1" applyAlignment="1">
      <alignment horizontal="left" vertical="center" inden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29">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color theme="0" tint="-0.3499799966812134"/>
      </font>
      <fill>
        <patternFill>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color theme="0" tint="-0.3499799966812134"/>
      </font>
      <fill>
        <patternFill patternType="solid">
          <fgColor indexed="65"/>
          <bgColor theme="0" tint="-0.3499799966812134"/>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indexed="45"/>
        </patternFill>
      </fill>
    </dxf>
    <dxf>
      <font>
        <strike val="0"/>
      </font>
      <fill>
        <patternFill>
          <bgColor rgb="FFFF99CC"/>
        </patternFill>
      </fill>
      <border/>
    </dxf>
    <dxf>
      <font>
        <color theme="0" tint="-0.3499799966812134"/>
      </font>
      <fill>
        <patternFill patternType="solid">
          <fgColor indexed="65"/>
          <bgColor theme="0" tint="-0.3499799966812134"/>
        </patternFill>
      </fill>
      <border/>
    </dxf>
    <dxf>
      <font>
        <strike val="0"/>
        <color theme="0" tint="-0.3499799966812134"/>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1</xdr:row>
      <xdr:rowOff>9525</xdr:rowOff>
    </xdr:from>
    <xdr:to>
      <xdr:col>19</xdr:col>
      <xdr:colOff>19050</xdr:colOff>
      <xdr:row>1</xdr:row>
      <xdr:rowOff>1076325</xdr:rowOff>
    </xdr:to>
    <xdr:pic>
      <xdr:nvPicPr>
        <xdr:cNvPr id="1" name="Picture 3" descr="lightergray"/>
        <xdr:cNvPicPr preferRelativeResize="1">
          <a:picLocks noChangeAspect="1"/>
        </xdr:cNvPicPr>
      </xdr:nvPicPr>
      <xdr:blipFill>
        <a:blip r:embed="rId1"/>
        <a:stretch>
          <a:fillRect/>
        </a:stretch>
      </xdr:blipFill>
      <xdr:spPr>
        <a:xfrm>
          <a:off x="742950" y="171450"/>
          <a:ext cx="49720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0"/>
  <sheetViews>
    <sheetView zoomScalePageLayoutView="0" workbookViewId="0" topLeftCell="A1">
      <selection activeCell="B17" sqref="B17"/>
    </sheetView>
  </sheetViews>
  <sheetFormatPr defaultColWidth="8.75390625" defaultRowHeight="12.75"/>
  <cols>
    <col min="1" max="1" width="12.125" style="80" customWidth="1"/>
    <col min="2" max="2" width="91.375" style="80" customWidth="1"/>
    <col min="3" max="3" width="54.875" style="80" customWidth="1"/>
    <col min="4" max="16384" width="8.75390625" style="80" customWidth="1"/>
  </cols>
  <sheetData>
    <row r="1" spans="1:2" ht="12.75">
      <c r="A1" s="161" t="s">
        <v>32</v>
      </c>
      <c r="B1" s="88" t="s">
        <v>34</v>
      </c>
    </row>
    <row r="2" spans="1:2" ht="31.5" customHeight="1">
      <c r="A2" s="161"/>
      <c r="B2" s="89" t="s">
        <v>35</v>
      </c>
    </row>
    <row r="3" spans="1:2" ht="31.5" customHeight="1">
      <c r="A3" s="161"/>
      <c r="B3" s="90" t="s">
        <v>47</v>
      </c>
    </row>
    <row r="4" spans="1:2" ht="42.75" customHeight="1">
      <c r="A4" s="162"/>
      <c r="B4" s="90" t="s">
        <v>110</v>
      </c>
    </row>
    <row r="5" spans="1:2" ht="12.75">
      <c r="A5" s="91"/>
      <c r="B5" s="91"/>
    </row>
    <row r="6" spans="1:2" ht="25.5">
      <c r="A6" s="92" t="s">
        <v>33</v>
      </c>
      <c r="B6" s="93" t="s">
        <v>48</v>
      </c>
    </row>
    <row r="7" spans="1:2" ht="12.75">
      <c r="A7" s="91"/>
      <c r="B7" s="91"/>
    </row>
    <row r="8" spans="1:2" ht="38.25">
      <c r="A8" s="161" t="s">
        <v>108</v>
      </c>
      <c r="B8" s="90" t="s">
        <v>109</v>
      </c>
    </row>
    <row r="9" spans="1:2" ht="25.5">
      <c r="A9" s="161"/>
      <c r="B9" s="90" t="s">
        <v>115</v>
      </c>
    </row>
    <row r="10" spans="1:2" ht="12.75">
      <c r="A10" s="91"/>
      <c r="B10" s="91"/>
    </row>
  </sheetData>
  <sheetProtection/>
  <mergeCells count="2">
    <mergeCell ref="A1:A4"/>
    <mergeCell ref="A8:A9"/>
  </mergeCells>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D39"/>
  <sheetViews>
    <sheetView zoomScalePageLayoutView="0" workbookViewId="0" topLeftCell="A1">
      <selection activeCell="F25" sqref="F25"/>
    </sheetView>
  </sheetViews>
  <sheetFormatPr defaultColWidth="9.00390625" defaultRowHeight="12.75"/>
  <cols>
    <col min="1" max="16384" width="9.00390625" style="80" customWidth="1"/>
  </cols>
  <sheetData>
    <row r="1" ht="12.75">
      <c r="A1" s="133" t="s">
        <v>107</v>
      </c>
    </row>
    <row r="3" ht="12.75">
      <c r="A3" s="80" t="s">
        <v>105</v>
      </c>
    </row>
    <row r="4" spans="2:4" ht="12.75">
      <c r="B4" s="80" t="s">
        <v>77</v>
      </c>
      <c r="D4" s="80">
        <f>1+COLUMN('Avg-Taste'!B$1)-COLUMN('Avg-Taste'!A$1)</f>
        <v>2</v>
      </c>
    </row>
    <row r="5" spans="2:4" ht="12.75">
      <c r="B5" s="80" t="s">
        <v>78</v>
      </c>
      <c r="D5" s="80">
        <f>1+COLUMN('Avg-Taste'!C$1)-COLUMN('Avg-Taste'!A$1)</f>
        <v>3</v>
      </c>
    </row>
    <row r="6" spans="2:4" ht="12.75">
      <c r="B6" s="80" t="s">
        <v>79</v>
      </c>
      <c r="D6" s="80">
        <f>1+COLUMN('Avg-Taste'!D$1)-COLUMN('Avg-Taste'!A$1)</f>
        <v>4</v>
      </c>
    </row>
    <row r="7" spans="2:4" ht="12.75">
      <c r="B7" s="80" t="s">
        <v>80</v>
      </c>
      <c r="D7" s="80">
        <f>1+COLUMN('Avg-Taste'!E$1)-COLUMN('Avg-Taste'!A$1)</f>
        <v>5</v>
      </c>
    </row>
    <row r="8" spans="2:4" ht="12.75">
      <c r="B8" s="80" t="s">
        <v>81</v>
      </c>
      <c r="D8" s="80">
        <f>1+COLUMN('Avg-Taste'!F$1)-COLUMN('Avg-Taste'!A$1)</f>
        <v>6</v>
      </c>
    </row>
    <row r="9" spans="2:4" ht="12.75">
      <c r="B9" s="80" t="s">
        <v>82</v>
      </c>
      <c r="D9" s="80">
        <f>1+COLUMN('Avg-Taste'!G$1)-COLUMN('Avg-Taste'!A$1)</f>
        <v>7</v>
      </c>
    </row>
    <row r="10" spans="2:4" ht="12.75">
      <c r="B10" s="80" t="s">
        <v>83</v>
      </c>
      <c r="D10" s="80">
        <f>1+COLUMN('Avg-Taste'!H$1)-COLUMN('Avg-Taste'!A$1)</f>
        <v>8</v>
      </c>
    </row>
    <row r="11" spans="2:4" ht="12.75">
      <c r="B11" s="80" t="s">
        <v>84</v>
      </c>
      <c r="D11" s="80">
        <f>1+COLUMN('Avg-Taste'!I$1)-COLUMN('Avg-Taste'!A$1)</f>
        <v>9</v>
      </c>
    </row>
    <row r="12" spans="2:4" ht="12.75">
      <c r="B12" s="80" t="s">
        <v>85</v>
      </c>
      <c r="D12" s="80">
        <f>1+COLUMN('Avg-Taste'!J$1)-COLUMN('Avg-Taste'!A$1)</f>
        <v>10</v>
      </c>
    </row>
    <row r="13" spans="2:4" ht="12.75">
      <c r="B13" s="80" t="s">
        <v>86</v>
      </c>
      <c r="D13" s="80">
        <f>1+COLUMN('Avg-Taste'!K$1)-COLUMN('Avg-Taste'!A$1)</f>
        <v>11</v>
      </c>
    </row>
    <row r="14" spans="2:4" ht="12.75">
      <c r="B14" s="80" t="s">
        <v>87</v>
      </c>
      <c r="D14" s="80">
        <f>1+COLUMN('Avg-Taste'!L$1)-COLUMN('Avg-Taste'!A$1)</f>
        <v>12</v>
      </c>
    </row>
    <row r="15" spans="2:4" ht="12.75">
      <c r="B15" s="80" t="s">
        <v>88</v>
      </c>
      <c r="D15" s="80">
        <f>1+COLUMN('Avg-Taste'!M$1)-COLUMN('Avg-Taste'!A$1)</f>
        <v>13</v>
      </c>
    </row>
    <row r="16" spans="2:4" ht="12.75">
      <c r="B16" s="80" t="s">
        <v>89</v>
      </c>
      <c r="D16" s="80">
        <f>1+COLUMN('Avg-Taste'!N$1)-COLUMN('Avg-Taste'!A$1)</f>
        <v>14</v>
      </c>
    </row>
    <row r="17" spans="2:4" ht="12.75">
      <c r="B17" s="80" t="s">
        <v>90</v>
      </c>
      <c r="D17" s="80">
        <f>1+COLUMN('Avg-Taste'!O$1)-COLUMN('Avg-Taste'!A$1)</f>
        <v>15</v>
      </c>
    </row>
    <row r="18" spans="2:4" ht="12.75">
      <c r="B18" s="80" t="s">
        <v>91</v>
      </c>
      <c r="D18" s="80">
        <f>1+COLUMN('Avg-Taste'!P$1)-COLUMN('Avg-Taste'!A$1)</f>
        <v>16</v>
      </c>
    </row>
    <row r="19" spans="2:4" ht="12.75">
      <c r="B19" s="80" t="s">
        <v>92</v>
      </c>
      <c r="D19" s="80">
        <f>1+COLUMN('Avg-Taste'!Q$1)-COLUMN('Avg-Taste'!A$1)</f>
        <v>17</v>
      </c>
    </row>
    <row r="20" spans="2:4" ht="12.75">
      <c r="B20" s="80" t="s">
        <v>93</v>
      </c>
      <c r="D20" s="80">
        <f>1+COLUMN('Avg-Taste'!R$1)-COLUMN('Avg-Taste'!A$1)</f>
        <v>18</v>
      </c>
    </row>
    <row r="21" spans="2:4" ht="12.75">
      <c r="B21" s="80" t="s">
        <v>94</v>
      </c>
      <c r="D21" s="80">
        <f>1+COLUMN('Avg-Taste'!S$1)-COLUMN('Avg-Taste'!A$1)</f>
        <v>19</v>
      </c>
    </row>
    <row r="22" spans="2:4" ht="12.75">
      <c r="B22" s="80" t="s">
        <v>95</v>
      </c>
      <c r="D22" s="80">
        <f>1+COLUMN('Avg-Taste'!T$1)-COLUMN('Avg-Taste'!A$1)</f>
        <v>20</v>
      </c>
    </row>
    <row r="23" spans="2:4" ht="12.75">
      <c r="B23" s="80" t="s">
        <v>96</v>
      </c>
      <c r="D23" s="80">
        <f>1+COLUMN('Avg-Taste'!U$1)-COLUMN('Avg-Taste'!A$1)</f>
        <v>21</v>
      </c>
    </row>
    <row r="24" spans="2:4" ht="12.75">
      <c r="B24" s="80" t="s">
        <v>97</v>
      </c>
      <c r="D24" s="80">
        <f>1+COLUMN('Avg-Taste'!V$1)-COLUMN('Avg-Taste'!A$1)</f>
        <v>22</v>
      </c>
    </row>
    <row r="25" spans="2:4" ht="12.75">
      <c r="B25" s="80" t="s">
        <v>98</v>
      </c>
      <c r="D25" s="80">
        <f>1+COLUMN('Avg-Taste'!W$1)-COLUMN('Avg-Taste'!A$1)</f>
        <v>23</v>
      </c>
    </row>
    <row r="26" spans="2:4" ht="12.75">
      <c r="B26" s="80" t="s">
        <v>99</v>
      </c>
      <c r="D26" s="80">
        <f>1+COLUMN('Avg-Taste'!X$1)-COLUMN('Avg-Taste'!A$1)</f>
        <v>24</v>
      </c>
    </row>
    <row r="27" spans="2:4" ht="12.75">
      <c r="B27" s="80" t="s">
        <v>100</v>
      </c>
      <c r="D27" s="80">
        <f>1+COLUMN('Avg-Taste'!Y$1)-COLUMN('Avg-Taste'!A$1)</f>
        <v>25</v>
      </c>
    </row>
    <row r="28" spans="2:4" ht="12.75">
      <c r="B28" s="80" t="s">
        <v>101</v>
      </c>
      <c r="D28" s="80">
        <f>1+COLUMN('Avg-Taste'!Z$1)-COLUMN('Avg-Taste'!A$1)</f>
        <v>26</v>
      </c>
    </row>
    <row r="29" spans="2:4" ht="12.75">
      <c r="B29" s="80" t="s">
        <v>102</v>
      </c>
      <c r="D29" s="80">
        <f>1+COLUMN('Avg-Taste'!AA$1)-COLUMN('Avg-Taste'!A$1)</f>
        <v>27</v>
      </c>
    </row>
    <row r="30" spans="2:4" ht="12.75">
      <c r="B30" s="80" t="s">
        <v>103</v>
      </c>
      <c r="D30" s="80">
        <f>1+COLUMN('Avg-Taste'!AB$1)-COLUMN('Avg-Taste'!A$1)</f>
        <v>28</v>
      </c>
    </row>
    <row r="31" spans="2:4" ht="12.75">
      <c r="B31" s="80" t="s">
        <v>104</v>
      </c>
      <c r="D31" s="80">
        <f>1+COLUMN('Avg-Taste'!AC$1)-COLUMN('Avg-Taste'!A$1)</f>
        <v>29</v>
      </c>
    </row>
    <row r="33" ht="12.75">
      <c r="A33" s="80" t="s">
        <v>106</v>
      </c>
    </row>
    <row r="34" spans="2:4" ht="12.75">
      <c r="B34" s="80" t="s">
        <v>51</v>
      </c>
      <c r="D34" s="80">
        <f>1+COLUMN('Scoring Accuracy'!P1)-COLUMN('Scoring Accuracy'!A1)</f>
        <v>16</v>
      </c>
    </row>
    <row r="35" spans="2:4" ht="12.75">
      <c r="B35" s="80" t="s">
        <v>52</v>
      </c>
      <c r="D35" s="80">
        <f>1+COLUMN('Scoring Accuracy'!Q2)-COLUMN('Scoring Accuracy'!A2)</f>
        <v>17</v>
      </c>
    </row>
    <row r="36" spans="2:4" ht="12.75">
      <c r="B36" s="80" t="s">
        <v>53</v>
      </c>
      <c r="D36" s="80">
        <f>1+COLUMN('Scoring Accuracy'!R3)-COLUMN('Scoring Accuracy'!A3)</f>
        <v>18</v>
      </c>
    </row>
    <row r="37" spans="2:4" ht="12.75">
      <c r="B37" s="80" t="s">
        <v>54</v>
      </c>
      <c r="D37" s="80">
        <f>1+COLUMN('Scoring Accuracy'!S4)-COLUMN('Scoring Accuracy'!A4)</f>
        <v>19</v>
      </c>
    </row>
    <row r="38" spans="2:4" ht="12.75">
      <c r="B38" s="80" t="s">
        <v>36</v>
      </c>
      <c r="D38" s="80">
        <f>1+COLUMN('Scoring Accuracy'!T5)-COLUMN('Scoring Accuracy'!A5)</f>
        <v>20</v>
      </c>
    </row>
    <row r="39" spans="2:4" ht="12.75">
      <c r="B39" s="80" t="s">
        <v>37</v>
      </c>
      <c r="D39" s="80">
        <f>1+COLUMN('Scoring Accuracy'!U6)-COLUMN('Scoring Accuracy'!A6)</f>
        <v>21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10"/>
  <sheetViews>
    <sheetView zoomScalePageLayoutView="0" workbookViewId="0" topLeftCell="A1">
      <selection activeCell="B11" sqref="B11"/>
    </sheetView>
  </sheetViews>
  <sheetFormatPr defaultColWidth="9.00390625" defaultRowHeight="12.75"/>
  <cols>
    <col min="1" max="1" width="10.00390625" style="142" customWidth="1"/>
    <col min="2" max="2" width="60.875" style="143" customWidth="1"/>
  </cols>
  <sheetData>
    <row r="1" spans="1:2" s="137" customFormat="1" ht="12.75">
      <c r="A1" s="138" t="s">
        <v>111</v>
      </c>
      <c r="B1" s="139" t="s">
        <v>112</v>
      </c>
    </row>
    <row r="2" spans="1:2" ht="12.75">
      <c r="A2" s="140">
        <v>40254</v>
      </c>
      <c r="B2" s="141" t="s">
        <v>113</v>
      </c>
    </row>
    <row r="3" spans="1:2" ht="89.25">
      <c r="A3" s="145">
        <v>40254</v>
      </c>
      <c r="B3" s="144" t="s">
        <v>116</v>
      </c>
    </row>
    <row r="4" spans="1:2" ht="12.75">
      <c r="A4" s="140">
        <v>40400</v>
      </c>
      <c r="B4" s="141" t="s">
        <v>117</v>
      </c>
    </row>
    <row r="5" ht="12.75">
      <c r="B5" s="141" t="s">
        <v>119</v>
      </c>
    </row>
    <row r="6" ht="12.75">
      <c r="B6" s="141" t="s">
        <v>118</v>
      </c>
    </row>
    <row r="7" spans="1:2" ht="12.75">
      <c r="A7" s="140">
        <v>40404</v>
      </c>
      <c r="B7" s="141" t="s">
        <v>120</v>
      </c>
    </row>
    <row r="8" ht="25.5">
      <c r="B8" s="141" t="s">
        <v>121</v>
      </c>
    </row>
    <row r="9" spans="1:2" ht="25.5">
      <c r="A9" s="140">
        <v>40414</v>
      </c>
      <c r="B9" s="141" t="s">
        <v>132</v>
      </c>
    </row>
    <row r="10" spans="1:2" ht="51">
      <c r="A10" s="140">
        <v>40653</v>
      </c>
      <c r="B10" s="143" t="s">
        <v>133</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X125"/>
  <sheetViews>
    <sheetView zoomScalePageLayoutView="0" workbookViewId="0" topLeftCell="A4">
      <selection activeCell="C11" sqref="C11"/>
    </sheetView>
  </sheetViews>
  <sheetFormatPr defaultColWidth="11.00390625" defaultRowHeight="12.75"/>
  <cols>
    <col min="1" max="1" width="10.875" style="0" customWidth="1"/>
    <col min="2" max="2" width="11.00390625" style="0" customWidth="1"/>
    <col min="3" max="3" width="12.875" style="0" customWidth="1"/>
    <col min="4" max="4" width="11.00390625" style="0" customWidth="1"/>
    <col min="5" max="6" width="11.00390625" style="18" customWidth="1"/>
    <col min="7" max="7" width="13.00390625" style="0" customWidth="1"/>
    <col min="8" max="9" width="11.00390625" style="0" customWidth="1"/>
    <col min="10" max="15" width="7.375" style="0" customWidth="1"/>
    <col min="16" max="21" width="5.625" style="1" customWidth="1"/>
    <col min="22" max="23" width="10.75390625" style="1" customWidth="1"/>
  </cols>
  <sheetData>
    <row r="1" spans="1:16" ht="19.5">
      <c r="A1" s="13" t="s">
        <v>40</v>
      </c>
      <c r="B1" s="9"/>
      <c r="C1" s="9"/>
      <c r="D1" s="9"/>
      <c r="E1" s="14"/>
      <c r="F1" s="14"/>
      <c r="G1" s="9"/>
      <c r="H1" s="12"/>
      <c r="I1" s="12"/>
      <c r="J1" s="12"/>
      <c r="K1" s="12"/>
      <c r="L1" s="12"/>
      <c r="M1" s="12"/>
      <c r="N1" s="12"/>
      <c r="O1" s="12"/>
      <c r="P1" s="11"/>
    </row>
    <row r="2" spans="1:16" ht="12.75">
      <c r="A2" s="9"/>
      <c r="B2" s="9"/>
      <c r="C2" s="9"/>
      <c r="D2" s="9"/>
      <c r="E2" s="14"/>
      <c r="F2" s="14"/>
      <c r="G2" s="9"/>
      <c r="H2" s="12"/>
      <c r="I2" s="12"/>
      <c r="J2" s="12"/>
      <c r="K2" s="12"/>
      <c r="L2" s="12"/>
      <c r="M2" s="12"/>
      <c r="N2" s="12"/>
      <c r="O2" s="12"/>
      <c r="P2" s="11"/>
    </row>
    <row r="3" spans="1:23" ht="12.75">
      <c r="A3" s="59" t="s">
        <v>4</v>
      </c>
      <c r="B3" s="60" t="str">
        <f>BeerName1</f>
        <v>Style1</v>
      </c>
      <c r="C3" s="60" t="str">
        <f>BeerName2</f>
        <v>Style2</v>
      </c>
      <c r="D3" s="60" t="str">
        <f>BeerName3</f>
        <v>Style3</v>
      </c>
      <c r="E3" s="61" t="str">
        <f>BeerName4</f>
        <v>Style4</v>
      </c>
      <c r="F3" s="60" t="str">
        <f>BeerName5</f>
        <v>Style5</v>
      </c>
      <c r="G3" s="62" t="str">
        <f>BeerName6</f>
        <v>Style6</v>
      </c>
      <c r="H3" s="30"/>
      <c r="I3" s="30"/>
      <c r="J3" s="30"/>
      <c r="K3" s="30"/>
      <c r="L3" s="30"/>
      <c r="M3" s="30"/>
      <c r="N3" s="30"/>
      <c r="O3" s="30"/>
      <c r="P3" s="16"/>
      <c r="Q3" s="3"/>
      <c r="R3" s="3"/>
      <c r="S3" s="3"/>
      <c r="T3" s="3"/>
      <c r="U3" s="3"/>
      <c r="V3" s="3"/>
      <c r="W3" s="3"/>
    </row>
    <row r="4" spans="1:23" ht="12.75">
      <c r="A4" s="63">
        <f>IF(ProctorName1&lt;&gt;"",ProctorName1,"")</f>
      </c>
      <c r="B4" s="64">
        <f>IF('Scoring Data'!G11&lt;&gt;"",'Scoring Data'!G11,"")</f>
      </c>
      <c r="C4" s="65">
        <f>IF('Scoring Data'!N11&lt;&gt;"",'Scoring Data'!N11,"")</f>
      </c>
      <c r="D4" s="64">
        <f>IF('Scoring Data'!U11&lt;&gt;"",'Scoring Data'!U11,"")</f>
      </c>
      <c r="E4" s="65">
        <f>IF('Scoring Data'!AB11&lt;&gt;"",'Scoring Data'!AB11,"")</f>
      </c>
      <c r="F4" s="64">
        <f>IF('Scoring Data'!AI11&lt;&gt;"",'Scoring Data'!AI11,"")</f>
      </c>
      <c r="G4" s="66">
        <f>IF('Scoring Data'!AP11&lt;&gt;"",'Scoring Data'!AP11,"")</f>
      </c>
      <c r="H4" s="30"/>
      <c r="I4" s="30"/>
      <c r="J4" s="30"/>
      <c r="K4" s="30"/>
      <c r="L4" s="30"/>
      <c r="M4" s="30"/>
      <c r="N4" s="30"/>
      <c r="O4" s="30"/>
      <c r="P4" s="16"/>
      <c r="Q4" s="3"/>
      <c r="R4" s="3"/>
      <c r="S4" s="3"/>
      <c r="T4" s="3"/>
      <c r="U4" s="3"/>
      <c r="V4" s="3"/>
      <c r="W4" s="3"/>
    </row>
    <row r="5" spans="1:23" ht="12.75">
      <c r="A5" s="63">
        <f>IF(ProctorName2&lt;&gt;"",ProctorName2,"")</f>
      </c>
      <c r="B5" s="64">
        <f>IF('Scoring Data'!G12&lt;&gt;"",'Scoring Data'!G12,"")</f>
      </c>
      <c r="C5" s="65">
        <f>IF('Scoring Data'!N12&lt;&gt;"",'Scoring Data'!N12,"")</f>
      </c>
      <c r="D5" s="64">
        <f>IF('Scoring Data'!U12&lt;&gt;"",'Scoring Data'!U12,"")</f>
      </c>
      <c r="E5" s="65">
        <f>IF('Scoring Data'!AB12&lt;&gt;"",'Scoring Data'!AB12,"")</f>
      </c>
      <c r="F5" s="64">
        <f>IF('Scoring Data'!AI12&lt;&gt;"",'Scoring Data'!AI12,"")</f>
      </c>
      <c r="G5" s="66">
        <f>IF('Scoring Data'!AP12&lt;&gt;"",'Scoring Data'!AP12,"")</f>
      </c>
      <c r="H5" s="30"/>
      <c r="I5" s="30"/>
      <c r="J5" s="30"/>
      <c r="K5" s="30"/>
      <c r="L5" s="30"/>
      <c r="M5" s="30"/>
      <c r="N5" s="30"/>
      <c r="O5" s="30"/>
      <c r="P5" s="16"/>
      <c r="Q5" s="3"/>
      <c r="R5" s="3"/>
      <c r="S5" s="3"/>
      <c r="T5" s="3"/>
      <c r="U5" s="3"/>
      <c r="V5" s="3"/>
      <c r="W5" s="3"/>
    </row>
    <row r="6" spans="1:23" ht="12.75">
      <c r="A6" s="63">
        <f>IF(ProctorName3&lt;&gt;"",ProctorName3,"")</f>
      </c>
      <c r="B6" s="64">
        <f>IF('Scoring Data'!G13&lt;&gt;"",'Scoring Data'!G13,"")</f>
      </c>
      <c r="C6" s="65">
        <f>IF('Scoring Data'!N13&lt;&gt;"",'Scoring Data'!N13,"")</f>
      </c>
      <c r="D6" s="64">
        <f>IF('Scoring Data'!U13&lt;&gt;"",'Scoring Data'!U13,"")</f>
      </c>
      <c r="E6" s="65">
        <f>IF('Scoring Data'!AB13&lt;&gt;"",'Scoring Data'!AB13,"")</f>
      </c>
      <c r="F6" s="64">
        <f>IF('Scoring Data'!AI13&lt;&gt;"",'Scoring Data'!AI13,"")</f>
      </c>
      <c r="G6" s="66">
        <f>IF('Scoring Data'!AP13&lt;&gt;"",'Scoring Data'!AP13,"")</f>
      </c>
      <c r="H6" s="30"/>
      <c r="I6" s="30"/>
      <c r="J6" s="30"/>
      <c r="K6" s="30"/>
      <c r="L6" s="30"/>
      <c r="M6" s="30"/>
      <c r="N6" s="30"/>
      <c r="O6" s="30"/>
      <c r="P6" s="67"/>
      <c r="Q6" s="68"/>
      <c r="R6" s="68"/>
      <c r="S6" s="3"/>
      <c r="T6" s="3"/>
      <c r="U6" s="3"/>
      <c r="V6" s="3"/>
      <c r="W6" s="3"/>
    </row>
    <row r="7" spans="1:23" ht="12.75">
      <c r="A7" s="69"/>
      <c r="B7" s="64"/>
      <c r="C7" s="65"/>
      <c r="D7" s="64"/>
      <c r="E7" s="65"/>
      <c r="F7" s="64"/>
      <c r="G7" s="135"/>
      <c r="H7" s="30"/>
      <c r="I7" s="30"/>
      <c r="J7" s="70"/>
      <c r="K7" s="70"/>
      <c r="L7" s="70"/>
      <c r="M7" s="70"/>
      <c r="N7" s="70"/>
      <c r="O7" s="70"/>
      <c r="P7" s="67"/>
      <c r="Q7" s="68"/>
      <c r="R7" s="68"/>
      <c r="S7" s="3"/>
      <c r="T7" s="3"/>
      <c r="U7" s="3"/>
      <c r="V7" s="3"/>
      <c r="W7" s="3"/>
    </row>
    <row r="8" spans="1:23" ht="12.75">
      <c r="A8" s="71" t="s">
        <v>20</v>
      </c>
      <c r="B8" s="72">
        <f>IF('Scoring Data'!G15&lt;&gt;"",'Scoring Data'!G15,"")</f>
      </c>
      <c r="C8" s="73">
        <f>IF('Scoring Data'!N15&lt;&gt;"",'Scoring Data'!N15,"")</f>
      </c>
      <c r="D8" s="72">
        <f>IF('Scoring Data'!U15&lt;&gt;"",'Scoring Data'!U15,"")</f>
      </c>
      <c r="E8" s="73">
        <f>IF('Scoring Data'!AB15&lt;&gt;"",'Scoring Data'!AB15,"")</f>
      </c>
      <c r="F8" s="72">
        <f>IF('Scoring Data'!AI15&lt;&gt;"",'Scoring Data'!AI15,"")</f>
      </c>
      <c r="G8" s="136">
        <f>IF('Scoring Data'!AP15&lt;&gt;"",'Scoring Data'!AP15,"")</f>
      </c>
      <c r="H8" s="74" t="s">
        <v>46</v>
      </c>
      <c r="I8" s="74" t="s">
        <v>7</v>
      </c>
      <c r="J8" s="163" t="s">
        <v>5</v>
      </c>
      <c r="K8" s="163"/>
      <c r="L8" s="163"/>
      <c r="M8" s="163"/>
      <c r="N8" s="164"/>
      <c r="O8" s="164"/>
      <c r="P8" s="165" t="s">
        <v>44</v>
      </c>
      <c r="Q8" s="165"/>
      <c r="R8" s="165"/>
      <c r="S8" s="165"/>
      <c r="T8" s="165"/>
      <c r="U8" s="165"/>
      <c r="V8" s="75" t="s">
        <v>38</v>
      </c>
      <c r="W8" s="75" t="s">
        <v>39</v>
      </c>
    </row>
    <row r="9" spans="1:23" ht="12.75">
      <c r="A9" s="76">
        <f>IF(Exam_01=0,"",Exam_01)</f>
        <v>1</v>
      </c>
      <c r="B9" s="64">
        <f>IF('Scoring Data'!G16&lt;&gt;"",'Scoring Data'!G16,"")</f>
      </c>
      <c r="C9" s="65">
        <f>IF('Scoring Data'!N16&lt;&gt;"",'Scoring Data'!N16,"")</f>
      </c>
      <c r="D9" s="64">
        <f>IF('Scoring Data'!U16&lt;&gt;"",'Scoring Data'!U16,"")</f>
      </c>
      <c r="E9" s="65">
        <f>IF('Scoring Data'!AB16&lt;&gt;"",'Scoring Data'!AB16,"")</f>
      </c>
      <c r="F9" s="64">
        <f>IF('Scoring Data'!AI16&lt;&gt;"",'Scoring Data'!AI16,"")</f>
      </c>
      <c r="G9" s="66">
        <f>IF('Scoring Data'!AP16&lt;&gt;"",'Scoring Data'!AP16,"")</f>
      </c>
      <c r="H9" s="77">
        <f>IF(J9&lt;&gt;"",SUM(P9:U9),"")</f>
      </c>
      <c r="I9" s="78">
        <f aca="true" t="shared" si="0" ref="I9:I22">IF(J9&lt;&gt;"",H9/120*100,"")</f>
      </c>
      <c r="J9" s="79">
        <f aca="true" t="shared" si="1" ref="J9:J34">IF(Consensus_B1&lt;&gt;"",IF(B9&lt;&gt;"",B9-Consensus_B1,""),"")</f>
      </c>
      <c r="K9" s="79">
        <f aca="true" t="shared" si="2" ref="K9:K34">IF(Consensus_B2&lt;&gt;"",IF(C9&lt;&gt;"",C9-Consensus_B2,""),"")</f>
      </c>
      <c r="L9" s="79">
        <f aca="true" t="shared" si="3" ref="L9:L34">IF(Consensus_B3&lt;&gt;"",IF(D9&lt;&gt;"",D9-Consensus_B3,""),"")</f>
      </c>
      <c r="M9" s="79">
        <f aca="true" t="shared" si="4" ref="M9:M34">IF(Consensus_B4&lt;&gt;"",IF(E9&lt;&gt;"",E9-Consensus_B4,""),"")</f>
      </c>
      <c r="N9" s="79">
        <f aca="true" t="shared" si="5" ref="N9:N34">IF(Consensus_B5&lt;&gt;"",IF(F9&lt;&gt;"",F9-Consensus_B5,""),"")</f>
      </c>
      <c r="O9" s="79">
        <f aca="true" t="shared" si="6" ref="O9:O34">IF(Consensus_B6&lt;&gt;"",IF(G9&lt;&gt;"",G9-Consensus_B6,""),"")</f>
      </c>
      <c r="P9" s="77">
        <f>IF(J9&lt;&gt;"",VLOOKUP(ABS(J9),$V$9:$W$20,2,TRUE),"")</f>
      </c>
      <c r="Q9" s="77">
        <f>IF(K9&lt;&gt;"",VLOOKUP(ABS(K9),$V$9:$W$24,2,TRUE),"")</f>
      </c>
      <c r="R9" s="77">
        <f>IF(L9&lt;&gt;"",VLOOKUP(ABS(L9),$V$9:$W$24,2,TRUE),"")</f>
      </c>
      <c r="S9" s="77">
        <f>IF(M9&lt;&gt;"",VLOOKUP(ABS(M9),$V$9:$W$24,2,TRUE),"")</f>
      </c>
      <c r="T9" s="77">
        <f>IF(N9&lt;&gt;"",VLOOKUP(ABS(N9),$V$9:$W$24,2,TRUE),"")</f>
      </c>
      <c r="U9" s="77">
        <f>IF(O9&lt;&gt;"",VLOOKUP(ABS(O9),$V$9:$W$24,2,TRUE),"")</f>
      </c>
      <c r="V9" s="75">
        <v>0</v>
      </c>
      <c r="W9" s="75">
        <v>20</v>
      </c>
    </row>
    <row r="10" spans="1:23" ht="12.75">
      <c r="A10" s="76">
        <f>IF(Exam_02=0,"",Exam_02)</f>
        <v>2</v>
      </c>
      <c r="B10" s="64">
        <f>IF('Scoring Data'!G17&lt;&gt;"",'Scoring Data'!G17,"")</f>
      </c>
      <c r="C10" s="65">
        <f>IF('Scoring Data'!N17&lt;&gt;"",'Scoring Data'!N17,"")</f>
      </c>
      <c r="D10" s="64">
        <f>IF('Scoring Data'!U17&lt;&gt;"",'Scoring Data'!U17,"")</f>
      </c>
      <c r="E10" s="65">
        <f>IF('Scoring Data'!AB17&lt;&gt;"",'Scoring Data'!AB17,"")</f>
      </c>
      <c r="F10" s="64">
        <f>IF('Scoring Data'!AI17&lt;&gt;"",'Scoring Data'!AI17,"")</f>
      </c>
      <c r="G10" s="66">
        <f>IF('Scoring Data'!AP17&lt;&gt;"",'Scoring Data'!AP17,"")</f>
      </c>
      <c r="H10" s="77">
        <f>IF(J10&lt;&gt;"",SUM(P10:U10),"")</f>
      </c>
      <c r="I10" s="78">
        <f t="shared" si="0"/>
      </c>
      <c r="J10" s="79">
        <f t="shared" si="1"/>
      </c>
      <c r="K10" s="79">
        <f t="shared" si="2"/>
      </c>
      <c r="L10" s="79">
        <f t="shared" si="3"/>
      </c>
      <c r="M10" s="79">
        <f t="shared" si="4"/>
      </c>
      <c r="N10" s="79">
        <f t="shared" si="5"/>
      </c>
      <c r="O10" s="79">
        <f t="shared" si="6"/>
      </c>
      <c r="P10" s="77">
        <f aca="true" t="shared" si="7" ref="P10:P22">IF(J10&lt;&gt;"",VLOOKUP(ABS(J10),$V$9:$W$20,2,TRUE),"")</f>
      </c>
      <c r="Q10" s="77">
        <f aca="true" t="shared" si="8" ref="Q10:Q22">IF(K10&lt;&gt;"",VLOOKUP(ABS(K10),$V$9:$W$24,2,TRUE),"")</f>
      </c>
      <c r="R10" s="77">
        <f aca="true" t="shared" si="9" ref="R10:R22">IF(L10&lt;&gt;"",VLOOKUP(ABS(L10),$V$9:$W$24,2,TRUE),"")</f>
      </c>
      <c r="S10" s="77">
        <f aca="true" t="shared" si="10" ref="S10:S22">IF(M10&lt;&gt;"",VLOOKUP(ABS(M10),$V$9:$W$24,2,TRUE),"")</f>
      </c>
      <c r="T10" s="77">
        <f aca="true" t="shared" si="11" ref="T10:T22">IF(N10&lt;&gt;"",VLOOKUP(ABS(N10),$V$9:$W$24,2,TRUE),"")</f>
      </c>
      <c r="U10" s="77">
        <f aca="true" t="shared" si="12" ref="U10:U22">IF(O10&lt;&gt;"",VLOOKUP(ABS(O10),$V$9:$W$24,2,TRUE),"")</f>
      </c>
      <c r="V10" s="75">
        <v>1.5</v>
      </c>
      <c r="W10" s="75">
        <v>19</v>
      </c>
    </row>
    <row r="11" spans="1:24" ht="12.75">
      <c r="A11" s="76">
        <f>IF(Exam_03=0,"",Exam_03)</f>
        <v>3</v>
      </c>
      <c r="B11" s="64">
        <f>IF('Scoring Data'!G18&lt;&gt;"",'Scoring Data'!G18,"")</f>
      </c>
      <c r="C11" s="65">
        <f>IF('Scoring Data'!N18&lt;&gt;"",'Scoring Data'!N18,"")</f>
      </c>
      <c r="D11" s="64">
        <f>IF('Scoring Data'!U18&lt;&gt;"",'Scoring Data'!U18,"")</f>
      </c>
      <c r="E11" s="65">
        <f>IF('Scoring Data'!AB18&lt;&gt;"",'Scoring Data'!AB18,"")</f>
      </c>
      <c r="F11" s="64">
        <f>IF('Scoring Data'!AI18&lt;&gt;"",'Scoring Data'!AI18,"")</f>
      </c>
      <c r="G11" s="66">
        <f>IF('Scoring Data'!AP18&lt;&gt;"",'Scoring Data'!AP18,"")</f>
      </c>
      <c r="H11" s="77">
        <f aca="true" t="shared" si="13" ref="H11:H22">IF(J11&lt;&gt;"",SUM(P11:U11),"")</f>
      </c>
      <c r="I11" s="78">
        <f t="shared" si="0"/>
      </c>
      <c r="J11" s="79">
        <f t="shared" si="1"/>
      </c>
      <c r="K11" s="79">
        <f t="shared" si="2"/>
      </c>
      <c r="L11" s="79">
        <f t="shared" si="3"/>
      </c>
      <c r="M11" s="79">
        <f t="shared" si="4"/>
      </c>
      <c r="N11" s="79">
        <f t="shared" si="5"/>
      </c>
      <c r="O11" s="79">
        <f t="shared" si="6"/>
      </c>
      <c r="P11" s="77">
        <f t="shared" si="7"/>
      </c>
      <c r="Q11" s="77">
        <f t="shared" si="8"/>
      </c>
      <c r="R11" s="77">
        <f t="shared" si="9"/>
      </c>
      <c r="S11" s="77">
        <f t="shared" si="10"/>
      </c>
      <c r="T11" s="77">
        <f t="shared" si="11"/>
      </c>
      <c r="U11" s="77">
        <f t="shared" si="12"/>
      </c>
      <c r="V11" s="75">
        <v>2.5</v>
      </c>
      <c r="W11" s="75">
        <v>18</v>
      </c>
      <c r="X11" s="9"/>
    </row>
    <row r="12" spans="1:24" ht="12.75">
      <c r="A12" s="76">
        <f>IF(Exam_04=0,"",Exam_04)</f>
        <v>4</v>
      </c>
      <c r="B12" s="64">
        <f>IF('Scoring Data'!G19&lt;&gt;"",'Scoring Data'!G19,"")</f>
      </c>
      <c r="C12" s="65">
        <f>IF('Scoring Data'!N19&lt;&gt;"",'Scoring Data'!N19,"")</f>
      </c>
      <c r="D12" s="64">
        <f>IF('Scoring Data'!U19&lt;&gt;"",'Scoring Data'!U19,"")</f>
      </c>
      <c r="E12" s="65">
        <f>IF('Scoring Data'!AB19&lt;&gt;"",'Scoring Data'!AB19,"")</f>
      </c>
      <c r="F12" s="64">
        <f>IF('Scoring Data'!AI19&lt;&gt;"",'Scoring Data'!AI19,"")</f>
      </c>
      <c r="G12" s="66">
        <f>IF('Scoring Data'!AP19&lt;&gt;"",'Scoring Data'!AP19,"")</f>
      </c>
      <c r="H12" s="77">
        <f t="shared" si="13"/>
      </c>
      <c r="I12" s="78">
        <f t="shared" si="0"/>
      </c>
      <c r="J12" s="79">
        <f t="shared" si="1"/>
      </c>
      <c r="K12" s="79">
        <f t="shared" si="2"/>
      </c>
      <c r="L12" s="79">
        <f t="shared" si="3"/>
      </c>
      <c r="M12" s="79">
        <f t="shared" si="4"/>
      </c>
      <c r="N12" s="79">
        <f t="shared" si="5"/>
      </c>
      <c r="O12" s="79">
        <f t="shared" si="6"/>
      </c>
      <c r="P12" s="77">
        <f t="shared" si="7"/>
      </c>
      <c r="Q12" s="77">
        <f t="shared" si="8"/>
      </c>
      <c r="R12" s="77">
        <f t="shared" si="9"/>
      </c>
      <c r="S12" s="77">
        <f t="shared" si="10"/>
      </c>
      <c r="T12" s="77">
        <f t="shared" si="11"/>
      </c>
      <c r="U12" s="77">
        <f t="shared" si="12"/>
      </c>
      <c r="V12" s="75">
        <v>3.5</v>
      </c>
      <c r="W12" s="75">
        <v>17</v>
      </c>
      <c r="X12" s="10"/>
    </row>
    <row r="13" spans="1:24" ht="12.75">
      <c r="A13" s="76">
        <f>IF(Exam_05=0,"",Exam_05)</f>
        <v>5</v>
      </c>
      <c r="B13" s="64">
        <f>IF('Scoring Data'!G20&lt;&gt;"",'Scoring Data'!G20,"")</f>
      </c>
      <c r="C13" s="65">
        <f>IF('Scoring Data'!N20&lt;&gt;"",'Scoring Data'!N20,"")</f>
      </c>
      <c r="D13" s="64">
        <f>IF('Scoring Data'!U20&lt;&gt;"",'Scoring Data'!U20,"")</f>
      </c>
      <c r="E13" s="65">
        <f>IF('Scoring Data'!AB20&lt;&gt;"",'Scoring Data'!AB20,"")</f>
      </c>
      <c r="F13" s="64">
        <f>IF('Scoring Data'!AI20&lt;&gt;"",'Scoring Data'!AI20,"")</f>
      </c>
      <c r="G13" s="66">
        <f>IF('Scoring Data'!AP20&lt;&gt;"",'Scoring Data'!AP20,"")</f>
      </c>
      <c r="H13" s="77">
        <f t="shared" si="13"/>
      </c>
      <c r="I13" s="78">
        <f t="shared" si="0"/>
      </c>
      <c r="J13" s="79">
        <f t="shared" si="1"/>
      </c>
      <c r="K13" s="79">
        <f t="shared" si="2"/>
      </c>
      <c r="L13" s="79">
        <f t="shared" si="3"/>
      </c>
      <c r="M13" s="79">
        <f t="shared" si="4"/>
      </c>
      <c r="N13" s="79">
        <f t="shared" si="5"/>
      </c>
      <c r="O13" s="79">
        <f t="shared" si="6"/>
      </c>
      <c r="P13" s="77">
        <f t="shared" si="7"/>
      </c>
      <c r="Q13" s="77">
        <f t="shared" si="8"/>
      </c>
      <c r="R13" s="77">
        <f t="shared" si="9"/>
      </c>
      <c r="S13" s="77">
        <f t="shared" si="10"/>
      </c>
      <c r="T13" s="77">
        <f t="shared" si="11"/>
      </c>
      <c r="U13" s="77">
        <f t="shared" si="12"/>
      </c>
      <c r="V13" s="75">
        <v>4.5</v>
      </c>
      <c r="W13" s="75">
        <v>16</v>
      </c>
      <c r="X13" s="10"/>
    </row>
    <row r="14" spans="1:24" ht="12.75">
      <c r="A14" s="76">
        <f>IF(Exam_06=0,"",Exam_06)</f>
        <v>6</v>
      </c>
      <c r="B14" s="64">
        <f>IF('Scoring Data'!G21&lt;&gt;"",'Scoring Data'!G21,"")</f>
      </c>
      <c r="C14" s="65">
        <f>IF('Scoring Data'!N21&lt;&gt;"",'Scoring Data'!N21,"")</f>
      </c>
      <c r="D14" s="64">
        <f>IF('Scoring Data'!U21&lt;&gt;"",'Scoring Data'!U21,"")</f>
      </c>
      <c r="E14" s="65">
        <f>IF('Scoring Data'!AB21&lt;&gt;"",'Scoring Data'!AB21,"")</f>
      </c>
      <c r="F14" s="64">
        <f>IF('Scoring Data'!AI21&lt;&gt;"",'Scoring Data'!AI21,"")</f>
      </c>
      <c r="G14" s="66">
        <f>IF('Scoring Data'!AP21&lt;&gt;"",'Scoring Data'!AP21,"")</f>
      </c>
      <c r="H14" s="77">
        <f t="shared" si="13"/>
      </c>
      <c r="I14" s="78">
        <f t="shared" si="0"/>
      </c>
      <c r="J14" s="79">
        <f t="shared" si="1"/>
      </c>
      <c r="K14" s="79">
        <f t="shared" si="2"/>
      </c>
      <c r="L14" s="79">
        <f t="shared" si="3"/>
      </c>
      <c r="M14" s="79">
        <f t="shared" si="4"/>
      </c>
      <c r="N14" s="79">
        <f t="shared" si="5"/>
      </c>
      <c r="O14" s="79">
        <f t="shared" si="6"/>
      </c>
      <c r="P14" s="77">
        <f t="shared" si="7"/>
      </c>
      <c r="Q14" s="77">
        <f t="shared" si="8"/>
      </c>
      <c r="R14" s="77">
        <f t="shared" si="9"/>
      </c>
      <c r="S14" s="77">
        <f t="shared" si="10"/>
      </c>
      <c r="T14" s="77">
        <f t="shared" si="11"/>
      </c>
      <c r="U14" s="77">
        <f t="shared" si="12"/>
      </c>
      <c r="V14" s="75">
        <v>5.5</v>
      </c>
      <c r="W14" s="75">
        <v>15</v>
      </c>
      <c r="X14" s="10"/>
    </row>
    <row r="15" spans="1:24" ht="12.75">
      <c r="A15" s="76">
        <f>IF(Exam_07=0,"",Exam_07)</f>
        <v>7</v>
      </c>
      <c r="B15" s="64">
        <f>IF('Scoring Data'!G22&lt;&gt;"",'Scoring Data'!G22,"")</f>
      </c>
      <c r="C15" s="65">
        <f>IF('Scoring Data'!N22&lt;&gt;"",'Scoring Data'!N22,"")</f>
      </c>
      <c r="D15" s="64">
        <f>IF('Scoring Data'!U22&lt;&gt;"",'Scoring Data'!U22,"")</f>
      </c>
      <c r="E15" s="65">
        <f>IF('Scoring Data'!AB22&lt;&gt;"",'Scoring Data'!AB22,"")</f>
      </c>
      <c r="F15" s="64">
        <f>IF('Scoring Data'!AI22&lt;&gt;"",'Scoring Data'!AI22,"")</f>
      </c>
      <c r="G15" s="66">
        <f>IF('Scoring Data'!AP22&lt;&gt;"",'Scoring Data'!AP22,"")</f>
      </c>
      <c r="H15" s="77">
        <f t="shared" si="13"/>
      </c>
      <c r="I15" s="78">
        <f t="shared" si="0"/>
      </c>
      <c r="J15" s="79">
        <f t="shared" si="1"/>
      </c>
      <c r="K15" s="79">
        <f t="shared" si="2"/>
      </c>
      <c r="L15" s="79">
        <f t="shared" si="3"/>
      </c>
      <c r="M15" s="79">
        <f t="shared" si="4"/>
      </c>
      <c r="N15" s="79">
        <f t="shared" si="5"/>
      </c>
      <c r="O15" s="79">
        <f t="shared" si="6"/>
      </c>
      <c r="P15" s="77">
        <f t="shared" si="7"/>
      </c>
      <c r="Q15" s="77">
        <f t="shared" si="8"/>
      </c>
      <c r="R15" s="77">
        <f t="shared" si="9"/>
      </c>
      <c r="S15" s="77">
        <f t="shared" si="10"/>
      </c>
      <c r="T15" s="77">
        <f t="shared" si="11"/>
      </c>
      <c r="U15" s="77">
        <f t="shared" si="12"/>
      </c>
      <c r="V15" s="75">
        <v>6</v>
      </c>
      <c r="W15" s="75">
        <v>14</v>
      </c>
      <c r="X15" s="10"/>
    </row>
    <row r="16" spans="1:24" ht="12.75">
      <c r="A16" s="76">
        <f>IF(Exam_08=0,"",Exam_08)</f>
        <v>8</v>
      </c>
      <c r="B16" s="64">
        <f>IF('Scoring Data'!G23&lt;&gt;"",'Scoring Data'!G23,"")</f>
      </c>
      <c r="C16" s="65">
        <f>IF('Scoring Data'!N23&lt;&gt;"",'Scoring Data'!N23,"")</f>
      </c>
      <c r="D16" s="64">
        <f>IF('Scoring Data'!U23&lt;&gt;"",'Scoring Data'!U23,"")</f>
      </c>
      <c r="E16" s="65">
        <f>IF('Scoring Data'!AB23&lt;&gt;"",'Scoring Data'!AB23,"")</f>
      </c>
      <c r="F16" s="64">
        <f>IF('Scoring Data'!AI23&lt;&gt;"",'Scoring Data'!AI23,"")</f>
      </c>
      <c r="G16" s="66">
        <f>IF('Scoring Data'!AP23&lt;&gt;"",'Scoring Data'!AP23,"")</f>
      </c>
      <c r="H16" s="77">
        <f t="shared" si="13"/>
      </c>
      <c r="I16" s="78">
        <f t="shared" si="0"/>
      </c>
      <c r="J16" s="79">
        <f t="shared" si="1"/>
      </c>
      <c r="K16" s="79">
        <f t="shared" si="2"/>
      </c>
      <c r="L16" s="79">
        <f t="shared" si="3"/>
      </c>
      <c r="M16" s="79">
        <f t="shared" si="4"/>
      </c>
      <c r="N16" s="79">
        <f t="shared" si="5"/>
      </c>
      <c r="O16" s="79">
        <f t="shared" si="6"/>
      </c>
      <c r="P16" s="77">
        <f t="shared" si="7"/>
      </c>
      <c r="Q16" s="77">
        <f t="shared" si="8"/>
      </c>
      <c r="R16" s="77">
        <f t="shared" si="9"/>
      </c>
      <c r="S16" s="77">
        <f t="shared" si="10"/>
      </c>
      <c r="T16" s="77">
        <f t="shared" si="11"/>
      </c>
      <c r="U16" s="77">
        <f t="shared" si="12"/>
      </c>
      <c r="V16" s="75">
        <v>6.5</v>
      </c>
      <c r="W16" s="75">
        <v>13</v>
      </c>
      <c r="X16" s="10"/>
    </row>
    <row r="17" spans="1:24" ht="12.75">
      <c r="A17" s="76">
        <f>IF(Exam_09=0,"",Exam_09)</f>
        <v>9</v>
      </c>
      <c r="B17" s="64">
        <f>IF('Scoring Data'!G24&lt;&gt;"",'Scoring Data'!G24,"")</f>
      </c>
      <c r="C17" s="65">
        <f>IF('Scoring Data'!N24&lt;&gt;"",'Scoring Data'!N24,"")</f>
      </c>
      <c r="D17" s="64">
        <f>IF('Scoring Data'!U24&lt;&gt;"",'Scoring Data'!U24,"")</f>
      </c>
      <c r="E17" s="65">
        <f>IF('Scoring Data'!AB24&lt;&gt;"",'Scoring Data'!AB24,"")</f>
      </c>
      <c r="F17" s="64">
        <f>IF('Scoring Data'!AI24&lt;&gt;"",'Scoring Data'!AI24,"")</f>
      </c>
      <c r="G17" s="66">
        <f>IF('Scoring Data'!AP24&lt;&gt;"",'Scoring Data'!AP24,"")</f>
      </c>
      <c r="H17" s="77">
        <f t="shared" si="13"/>
      </c>
      <c r="I17" s="78">
        <f t="shared" si="0"/>
      </c>
      <c r="J17" s="79">
        <f t="shared" si="1"/>
      </c>
      <c r="K17" s="79">
        <f t="shared" si="2"/>
      </c>
      <c r="L17" s="79">
        <f t="shared" si="3"/>
      </c>
      <c r="M17" s="79">
        <f t="shared" si="4"/>
      </c>
      <c r="N17" s="79">
        <f t="shared" si="5"/>
      </c>
      <c r="O17" s="79">
        <f t="shared" si="6"/>
      </c>
      <c r="P17" s="77">
        <f t="shared" si="7"/>
      </c>
      <c r="Q17" s="77">
        <f t="shared" si="8"/>
      </c>
      <c r="R17" s="77">
        <f t="shared" si="9"/>
      </c>
      <c r="S17" s="77">
        <f t="shared" si="10"/>
      </c>
      <c r="T17" s="77">
        <f t="shared" si="11"/>
      </c>
      <c r="U17" s="77">
        <f t="shared" si="12"/>
      </c>
      <c r="V17" s="75">
        <v>7</v>
      </c>
      <c r="W17" s="75">
        <v>12</v>
      </c>
      <c r="X17" s="10"/>
    </row>
    <row r="18" spans="1:23" ht="12.75">
      <c r="A18" s="76">
        <f>IF(Exam_10=0,"",Exam_10)</f>
        <v>10</v>
      </c>
      <c r="B18" s="64">
        <f>IF('Scoring Data'!G25&lt;&gt;"",'Scoring Data'!G25,"")</f>
      </c>
      <c r="C18" s="65">
        <f>IF('Scoring Data'!N25&lt;&gt;"",'Scoring Data'!N25,"")</f>
      </c>
      <c r="D18" s="64">
        <f>IF('Scoring Data'!U25&lt;&gt;"",'Scoring Data'!U25,"")</f>
      </c>
      <c r="E18" s="65">
        <f>IF('Scoring Data'!AB25&lt;&gt;"",'Scoring Data'!AB25,"")</f>
      </c>
      <c r="F18" s="64">
        <f>IF('Scoring Data'!AI25&lt;&gt;"",'Scoring Data'!AI25,"")</f>
      </c>
      <c r="G18" s="66">
        <f>IF('Scoring Data'!AP25&lt;&gt;"",'Scoring Data'!AP25,"")</f>
      </c>
      <c r="H18" s="77">
        <f t="shared" si="13"/>
      </c>
      <c r="I18" s="78">
        <f t="shared" si="0"/>
      </c>
      <c r="J18" s="79">
        <f t="shared" si="1"/>
      </c>
      <c r="K18" s="79">
        <f t="shared" si="2"/>
      </c>
      <c r="L18" s="79">
        <f t="shared" si="3"/>
      </c>
      <c r="M18" s="79">
        <f t="shared" si="4"/>
      </c>
      <c r="N18" s="79">
        <f t="shared" si="5"/>
      </c>
      <c r="O18" s="79">
        <f t="shared" si="6"/>
      </c>
      <c r="P18" s="77">
        <f t="shared" si="7"/>
      </c>
      <c r="Q18" s="77">
        <f t="shared" si="8"/>
      </c>
      <c r="R18" s="77">
        <f t="shared" si="9"/>
      </c>
      <c r="S18" s="77">
        <f t="shared" si="10"/>
      </c>
      <c r="T18" s="77">
        <f t="shared" si="11"/>
      </c>
      <c r="U18" s="77">
        <f t="shared" si="12"/>
      </c>
      <c r="V18" s="75">
        <v>8</v>
      </c>
      <c r="W18" s="75">
        <v>11</v>
      </c>
    </row>
    <row r="19" spans="1:23" ht="12.75">
      <c r="A19" s="76">
        <f>IF(Exam_11=0,"",Exam_11)</f>
        <v>11</v>
      </c>
      <c r="B19" s="64">
        <f>IF('Scoring Data'!G26&lt;&gt;"",'Scoring Data'!G26,"")</f>
      </c>
      <c r="C19" s="65">
        <f>IF('Scoring Data'!N26&lt;&gt;"",'Scoring Data'!N26,"")</f>
      </c>
      <c r="D19" s="64">
        <f>IF('Scoring Data'!U26&lt;&gt;"",'Scoring Data'!U26,"")</f>
      </c>
      <c r="E19" s="65">
        <f>IF('Scoring Data'!AB26&lt;&gt;"",'Scoring Data'!AB26,"")</f>
      </c>
      <c r="F19" s="64">
        <f>IF('Scoring Data'!AI26&lt;&gt;"",'Scoring Data'!AI26,"")</f>
      </c>
      <c r="G19" s="66">
        <f>IF('Scoring Data'!AP26&lt;&gt;"",'Scoring Data'!AP26,"")</f>
      </c>
      <c r="H19" s="77">
        <f t="shared" si="13"/>
      </c>
      <c r="I19" s="78">
        <f t="shared" si="0"/>
      </c>
      <c r="J19" s="79">
        <f t="shared" si="1"/>
      </c>
      <c r="K19" s="79">
        <f t="shared" si="2"/>
      </c>
      <c r="L19" s="79">
        <f t="shared" si="3"/>
      </c>
      <c r="M19" s="79">
        <f t="shared" si="4"/>
      </c>
      <c r="N19" s="79">
        <f t="shared" si="5"/>
      </c>
      <c r="O19" s="79">
        <f t="shared" si="6"/>
      </c>
      <c r="P19" s="77">
        <f t="shared" si="7"/>
      </c>
      <c r="Q19" s="77">
        <f t="shared" si="8"/>
      </c>
      <c r="R19" s="77">
        <f t="shared" si="9"/>
      </c>
      <c r="S19" s="77">
        <f t="shared" si="10"/>
      </c>
      <c r="T19" s="77">
        <f t="shared" si="11"/>
      </c>
      <c r="U19" s="77">
        <f t="shared" si="12"/>
      </c>
      <c r="V19" s="75">
        <v>9</v>
      </c>
      <c r="W19" s="75">
        <v>10</v>
      </c>
    </row>
    <row r="20" spans="1:23" ht="12.75">
      <c r="A20" s="76">
        <f>IF(Exam_12=0,"",Exam_12)</f>
        <v>12</v>
      </c>
      <c r="B20" s="64">
        <f>IF('Scoring Data'!G27&lt;&gt;"",'Scoring Data'!G27,"")</f>
      </c>
      <c r="C20" s="65">
        <f>IF('Scoring Data'!N27&lt;&gt;"",'Scoring Data'!N27,"")</f>
      </c>
      <c r="D20" s="64">
        <f>IF('Scoring Data'!U27&lt;&gt;"",'Scoring Data'!U27,"")</f>
      </c>
      <c r="E20" s="65">
        <f>IF('Scoring Data'!AB27&lt;&gt;"",'Scoring Data'!AB27,"")</f>
      </c>
      <c r="F20" s="64">
        <f>IF('Scoring Data'!AI27&lt;&gt;"",'Scoring Data'!AI27,"")</f>
      </c>
      <c r="G20" s="66">
        <f>IF('Scoring Data'!AP27&lt;&gt;"",'Scoring Data'!AP27,"")</f>
      </c>
      <c r="H20" s="77">
        <f t="shared" si="13"/>
      </c>
      <c r="I20" s="78">
        <f t="shared" si="0"/>
      </c>
      <c r="J20" s="79">
        <f t="shared" si="1"/>
      </c>
      <c r="K20" s="79">
        <f t="shared" si="2"/>
      </c>
      <c r="L20" s="79">
        <f t="shared" si="3"/>
      </c>
      <c r="M20" s="79">
        <f t="shared" si="4"/>
      </c>
      <c r="N20" s="79">
        <f t="shared" si="5"/>
      </c>
      <c r="O20" s="79">
        <f t="shared" si="6"/>
      </c>
      <c r="P20" s="77">
        <f t="shared" si="7"/>
      </c>
      <c r="Q20" s="77">
        <f t="shared" si="8"/>
      </c>
      <c r="R20" s="77">
        <f t="shared" si="9"/>
      </c>
      <c r="S20" s="77">
        <f t="shared" si="10"/>
      </c>
      <c r="T20" s="77">
        <f t="shared" si="11"/>
      </c>
      <c r="U20" s="77">
        <f t="shared" si="12"/>
      </c>
      <c r="V20" s="75">
        <v>10</v>
      </c>
      <c r="W20" s="75">
        <v>9</v>
      </c>
    </row>
    <row r="21" spans="1:23" ht="12.75">
      <c r="A21" s="76">
        <f>IF(Exam_13=0,"",Exam_13)</f>
        <v>13</v>
      </c>
      <c r="B21" s="64">
        <f>IF('Scoring Data'!G28&lt;&gt;"",'Scoring Data'!G28,"")</f>
      </c>
      <c r="C21" s="65">
        <f>IF('Scoring Data'!N28&lt;&gt;"",'Scoring Data'!N28,"")</f>
      </c>
      <c r="D21" s="64">
        <f>IF('Scoring Data'!U28&lt;&gt;"",'Scoring Data'!U28,"")</f>
      </c>
      <c r="E21" s="65">
        <f>IF('Scoring Data'!AB28&lt;&gt;"",'Scoring Data'!AB28,"")</f>
      </c>
      <c r="F21" s="64">
        <f>IF('Scoring Data'!AI28&lt;&gt;"",'Scoring Data'!AI28,"")</f>
      </c>
      <c r="G21" s="66">
        <f>IF('Scoring Data'!AP28&lt;&gt;"",'Scoring Data'!AP28,"")</f>
      </c>
      <c r="H21" s="77">
        <f t="shared" si="13"/>
      </c>
      <c r="I21" s="78">
        <f t="shared" si="0"/>
      </c>
      <c r="J21" s="79">
        <f t="shared" si="1"/>
      </c>
      <c r="K21" s="79">
        <f t="shared" si="2"/>
      </c>
      <c r="L21" s="79">
        <f t="shared" si="3"/>
      </c>
      <c r="M21" s="79">
        <f t="shared" si="4"/>
      </c>
      <c r="N21" s="79">
        <f t="shared" si="5"/>
      </c>
      <c r="O21" s="79">
        <f t="shared" si="6"/>
      </c>
      <c r="P21" s="77">
        <f t="shared" si="7"/>
      </c>
      <c r="Q21" s="77">
        <f t="shared" si="8"/>
      </c>
      <c r="R21" s="77">
        <f t="shared" si="9"/>
      </c>
      <c r="S21" s="77">
        <f t="shared" si="10"/>
      </c>
      <c r="T21" s="77">
        <f t="shared" si="11"/>
      </c>
      <c r="U21" s="77">
        <f t="shared" si="12"/>
      </c>
      <c r="V21" s="75"/>
      <c r="W21" s="75"/>
    </row>
    <row r="22" spans="1:23" ht="12.75">
      <c r="A22" s="76">
        <f>IF(Exam_14=0,"",Exam_14)</f>
        <v>14</v>
      </c>
      <c r="B22" s="64">
        <f>IF('Scoring Data'!G29&lt;&gt;"",'Scoring Data'!G29,"")</f>
      </c>
      <c r="C22" s="65">
        <f>IF('Scoring Data'!N29&lt;&gt;"",'Scoring Data'!N29,"")</f>
      </c>
      <c r="D22" s="64">
        <f>IF('Scoring Data'!U29&lt;&gt;"",'Scoring Data'!U29,"")</f>
      </c>
      <c r="E22" s="65">
        <f>IF('Scoring Data'!AB29&lt;&gt;"",'Scoring Data'!AB29,"")</f>
      </c>
      <c r="F22" s="64">
        <f>IF('Scoring Data'!AI29&lt;&gt;"",'Scoring Data'!AI29,"")</f>
      </c>
      <c r="G22" s="66">
        <f>IF('Scoring Data'!AP29&lt;&gt;"",'Scoring Data'!AP29,"")</f>
      </c>
      <c r="H22" s="77">
        <f t="shared" si="13"/>
      </c>
      <c r="I22" s="78">
        <f t="shared" si="0"/>
      </c>
      <c r="J22" s="79">
        <f t="shared" si="1"/>
      </c>
      <c r="K22" s="79">
        <f t="shared" si="2"/>
      </c>
      <c r="L22" s="79">
        <f t="shared" si="3"/>
      </c>
      <c r="M22" s="79">
        <f t="shared" si="4"/>
      </c>
      <c r="N22" s="79">
        <f t="shared" si="5"/>
      </c>
      <c r="O22" s="79">
        <f t="shared" si="6"/>
      </c>
      <c r="P22" s="77">
        <f t="shared" si="7"/>
      </c>
      <c r="Q22" s="77">
        <f t="shared" si="8"/>
      </c>
      <c r="R22" s="77">
        <f t="shared" si="9"/>
      </c>
      <c r="S22" s="77">
        <f t="shared" si="10"/>
      </c>
      <c r="T22" s="77">
        <f t="shared" si="11"/>
      </c>
      <c r="U22" s="77">
        <f t="shared" si="12"/>
      </c>
      <c r="V22" s="75"/>
      <c r="W22" s="75"/>
    </row>
    <row r="23" spans="1:23" ht="12.75">
      <c r="A23" s="76">
        <f>IF(Exam_15=0,"",Exam_15)</f>
        <v>15</v>
      </c>
      <c r="B23" s="64">
        <f>IF('Scoring Data'!G30&lt;&gt;"",'Scoring Data'!G30,"")</f>
      </c>
      <c r="C23" s="65">
        <f>IF('Scoring Data'!N30&lt;&gt;"",'Scoring Data'!N30,"")</f>
      </c>
      <c r="D23" s="64">
        <f>IF('Scoring Data'!U30&lt;&gt;"",'Scoring Data'!U30,"")</f>
      </c>
      <c r="E23" s="65">
        <f>IF('Scoring Data'!AB30&lt;&gt;"",'Scoring Data'!AB30,"")</f>
      </c>
      <c r="F23" s="64">
        <f>IF('Scoring Data'!AI30&lt;&gt;"",'Scoring Data'!AI30,"")</f>
      </c>
      <c r="G23" s="66">
        <f>IF('Scoring Data'!AP30&lt;&gt;"",'Scoring Data'!AP30,"")</f>
      </c>
      <c r="H23" s="77">
        <f aca="true" t="shared" si="14" ref="H23:H28">IF(J23&lt;&gt;"",SUM(P23:U23),"")</f>
      </c>
      <c r="I23" s="78">
        <f aca="true" t="shared" si="15" ref="I23:I28">IF(J23&lt;&gt;"",H23/120*100,"")</f>
      </c>
      <c r="J23" s="79">
        <f t="shared" si="1"/>
      </c>
      <c r="K23" s="79">
        <f t="shared" si="2"/>
      </c>
      <c r="L23" s="79">
        <f t="shared" si="3"/>
      </c>
      <c r="M23" s="79">
        <f t="shared" si="4"/>
      </c>
      <c r="N23" s="79">
        <f t="shared" si="5"/>
      </c>
      <c r="O23" s="79">
        <f t="shared" si="6"/>
      </c>
      <c r="P23" s="77">
        <f aca="true" t="shared" si="16" ref="P23:P28">IF(J23&lt;&gt;"",VLOOKUP(ABS(J23),$V$9:$W$20,2,TRUE),"")</f>
      </c>
      <c r="Q23" s="77">
        <f aca="true" t="shared" si="17" ref="Q23:Q28">IF(K23&lt;&gt;"",VLOOKUP(ABS(K23),$V$9:$W$24,2,TRUE),"")</f>
      </c>
      <c r="R23" s="77">
        <f aca="true" t="shared" si="18" ref="R23:R28">IF(L23&lt;&gt;"",VLOOKUP(ABS(L23),$V$9:$W$24,2,TRUE),"")</f>
      </c>
      <c r="S23" s="77">
        <f aca="true" t="shared" si="19" ref="S23:S28">IF(M23&lt;&gt;"",VLOOKUP(ABS(M23),$V$9:$W$24,2,TRUE),"")</f>
      </c>
      <c r="T23" s="77">
        <f aca="true" t="shared" si="20" ref="T23:T28">IF(N23&lt;&gt;"",VLOOKUP(ABS(N23),$V$9:$W$24,2,TRUE),"")</f>
      </c>
      <c r="U23" s="77">
        <f aca="true" t="shared" si="21" ref="U23:U28">IF(O23&lt;&gt;"",VLOOKUP(ABS(O23),$V$9:$W$24,2,TRUE),"")</f>
      </c>
      <c r="V23" s="75"/>
      <c r="W23" s="75"/>
    </row>
    <row r="24" spans="1:23" ht="12.75">
      <c r="A24" s="76">
        <f>IF(Exam_16=0,"",Exam_16)</f>
        <v>16</v>
      </c>
      <c r="B24" s="64">
        <f>IF('Scoring Data'!G31&lt;&gt;"",'Scoring Data'!G31,"")</f>
      </c>
      <c r="C24" s="65">
        <f>IF('Scoring Data'!N31&lt;&gt;"",'Scoring Data'!N31,"")</f>
      </c>
      <c r="D24" s="64">
        <f>IF('Scoring Data'!U31&lt;&gt;"",'Scoring Data'!U31,"")</f>
      </c>
      <c r="E24" s="65">
        <f>IF('Scoring Data'!AB31&lt;&gt;"",'Scoring Data'!AB31,"")</f>
      </c>
      <c r="F24" s="64">
        <f>IF('Scoring Data'!AI31&lt;&gt;"",'Scoring Data'!AI31,"")</f>
      </c>
      <c r="G24" s="66">
        <f>IF('Scoring Data'!AP31&lt;&gt;"",'Scoring Data'!AP31,"")</f>
      </c>
      <c r="H24" s="77">
        <f t="shared" si="14"/>
      </c>
      <c r="I24" s="78">
        <f t="shared" si="15"/>
      </c>
      <c r="J24" s="79">
        <f t="shared" si="1"/>
      </c>
      <c r="K24" s="79">
        <f t="shared" si="2"/>
      </c>
      <c r="L24" s="79">
        <f t="shared" si="3"/>
      </c>
      <c r="M24" s="79">
        <f t="shared" si="4"/>
      </c>
      <c r="N24" s="79">
        <f t="shared" si="5"/>
      </c>
      <c r="O24" s="79">
        <f t="shared" si="6"/>
      </c>
      <c r="P24" s="77">
        <f t="shared" si="16"/>
      </c>
      <c r="Q24" s="77">
        <f t="shared" si="17"/>
      </c>
      <c r="R24" s="77">
        <f t="shared" si="18"/>
      </c>
      <c r="S24" s="77">
        <f t="shared" si="19"/>
      </c>
      <c r="T24" s="77">
        <f t="shared" si="20"/>
      </c>
      <c r="U24" s="77">
        <f t="shared" si="21"/>
      </c>
      <c r="V24" s="75"/>
      <c r="W24" s="75"/>
    </row>
    <row r="25" spans="1:23" ht="12.75">
      <c r="A25" s="76">
        <f>IF(Exam_17=0,"",Exam_17)</f>
        <v>17</v>
      </c>
      <c r="B25" s="64">
        <f>IF('Scoring Data'!G32&lt;&gt;"",'Scoring Data'!G32,"")</f>
      </c>
      <c r="C25" s="65">
        <f>IF('Scoring Data'!N32&lt;&gt;"",'Scoring Data'!N32,"")</f>
      </c>
      <c r="D25" s="64">
        <f>IF('Scoring Data'!U32&lt;&gt;"",'Scoring Data'!U32,"")</f>
      </c>
      <c r="E25" s="65">
        <f>IF('Scoring Data'!AB32&lt;&gt;"",'Scoring Data'!AB32,"")</f>
      </c>
      <c r="F25" s="64">
        <f>IF('Scoring Data'!AI32&lt;&gt;"",'Scoring Data'!AI32,"")</f>
      </c>
      <c r="G25" s="66">
        <f>IF('Scoring Data'!AP32&lt;&gt;"",'Scoring Data'!AP32,"")</f>
      </c>
      <c r="H25" s="77">
        <f t="shared" si="14"/>
      </c>
      <c r="I25" s="78">
        <f t="shared" si="15"/>
      </c>
      <c r="J25" s="79">
        <f t="shared" si="1"/>
      </c>
      <c r="K25" s="79">
        <f t="shared" si="2"/>
      </c>
      <c r="L25" s="79">
        <f t="shared" si="3"/>
      </c>
      <c r="M25" s="79">
        <f t="shared" si="4"/>
      </c>
      <c r="N25" s="79">
        <f t="shared" si="5"/>
      </c>
      <c r="O25" s="79">
        <f t="shared" si="6"/>
      </c>
      <c r="P25" s="77">
        <f t="shared" si="16"/>
      </c>
      <c r="Q25" s="77">
        <f t="shared" si="17"/>
      </c>
      <c r="R25" s="77">
        <f t="shared" si="18"/>
      </c>
      <c r="S25" s="77">
        <f t="shared" si="19"/>
      </c>
      <c r="T25" s="77">
        <f t="shared" si="20"/>
      </c>
      <c r="U25" s="77">
        <f t="shared" si="21"/>
      </c>
      <c r="V25" s="80"/>
      <c r="W25" s="80"/>
    </row>
    <row r="26" spans="1:23" ht="12.75">
      <c r="A26" s="76">
        <f>IF(Exam_18=0,"",Exam_18)</f>
        <v>18</v>
      </c>
      <c r="B26" s="64">
        <f>IF('Scoring Data'!G33&lt;&gt;"",'Scoring Data'!G33,"")</f>
      </c>
      <c r="C26" s="65">
        <f>IF('Scoring Data'!N33&lt;&gt;"",'Scoring Data'!N33,"")</f>
      </c>
      <c r="D26" s="64">
        <f>IF('Scoring Data'!U33&lt;&gt;"",'Scoring Data'!U33,"")</f>
      </c>
      <c r="E26" s="65">
        <f>IF('Scoring Data'!AB33&lt;&gt;"",'Scoring Data'!AB33,"")</f>
      </c>
      <c r="F26" s="64">
        <f>IF('Scoring Data'!AI33&lt;&gt;"",'Scoring Data'!AI33,"")</f>
      </c>
      <c r="G26" s="66">
        <f>IF('Scoring Data'!AP33&lt;&gt;"",'Scoring Data'!AP33,"")</f>
      </c>
      <c r="H26" s="77">
        <f t="shared" si="14"/>
      </c>
      <c r="I26" s="78">
        <f t="shared" si="15"/>
      </c>
      <c r="J26" s="79">
        <f t="shared" si="1"/>
      </c>
      <c r="K26" s="79">
        <f t="shared" si="2"/>
      </c>
      <c r="L26" s="79">
        <f t="shared" si="3"/>
      </c>
      <c r="M26" s="79">
        <f t="shared" si="4"/>
      </c>
      <c r="N26" s="79">
        <f t="shared" si="5"/>
      </c>
      <c r="O26" s="79">
        <f t="shared" si="6"/>
      </c>
      <c r="P26" s="77">
        <f t="shared" si="16"/>
      </c>
      <c r="Q26" s="77">
        <f t="shared" si="17"/>
      </c>
      <c r="R26" s="77">
        <f t="shared" si="18"/>
      </c>
      <c r="S26" s="77">
        <f t="shared" si="19"/>
      </c>
      <c r="T26" s="77">
        <f t="shared" si="20"/>
      </c>
      <c r="U26" s="77">
        <f t="shared" si="21"/>
      </c>
      <c r="V26" s="80"/>
      <c r="W26" s="80"/>
    </row>
    <row r="27" spans="1:23" ht="13.5" customHeight="1">
      <c r="A27" s="76">
        <f>IF(Exam_19=0,"",Exam_19)</f>
        <v>19</v>
      </c>
      <c r="B27" s="64">
        <f>IF('Scoring Data'!G34&lt;&gt;"",'Scoring Data'!G34,"")</f>
      </c>
      <c r="C27" s="65">
        <f>IF('Scoring Data'!N34&lt;&gt;"",'Scoring Data'!N34,"")</f>
      </c>
      <c r="D27" s="64">
        <f>IF('Scoring Data'!U34&lt;&gt;"",'Scoring Data'!U34,"")</f>
      </c>
      <c r="E27" s="65">
        <f>IF('Scoring Data'!AB34&lt;&gt;"",'Scoring Data'!AB34,"")</f>
      </c>
      <c r="F27" s="64">
        <f>IF('Scoring Data'!AI34&lt;&gt;"",'Scoring Data'!AI34,"")</f>
      </c>
      <c r="G27" s="66">
        <f>IF('Scoring Data'!AP34&lt;&gt;"",'Scoring Data'!AP34,"")</f>
      </c>
      <c r="H27" s="77">
        <f t="shared" si="14"/>
      </c>
      <c r="I27" s="78">
        <f t="shared" si="15"/>
      </c>
      <c r="J27" s="79">
        <f t="shared" si="1"/>
      </c>
      <c r="K27" s="79">
        <f t="shared" si="2"/>
      </c>
      <c r="L27" s="79">
        <f t="shared" si="3"/>
      </c>
      <c r="M27" s="79">
        <f t="shared" si="4"/>
      </c>
      <c r="N27" s="79">
        <f t="shared" si="5"/>
      </c>
      <c r="O27" s="79">
        <f t="shared" si="6"/>
      </c>
      <c r="P27" s="77">
        <f t="shared" si="16"/>
      </c>
      <c r="Q27" s="77">
        <f t="shared" si="17"/>
      </c>
      <c r="R27" s="77">
        <f t="shared" si="18"/>
      </c>
      <c r="S27" s="77">
        <f t="shared" si="19"/>
      </c>
      <c r="T27" s="77">
        <f t="shared" si="20"/>
      </c>
      <c r="U27" s="77">
        <f t="shared" si="21"/>
      </c>
      <c r="V27" s="80"/>
      <c r="W27" s="80"/>
    </row>
    <row r="28" spans="1:23" ht="12.75">
      <c r="A28" s="76">
        <f>IF(Exam_20=0,"",Exam_20)</f>
        <v>20</v>
      </c>
      <c r="B28" s="64">
        <f>IF('Scoring Data'!G35&lt;&gt;"",'Scoring Data'!G35,"")</f>
      </c>
      <c r="C28" s="65">
        <f>IF('Scoring Data'!N35&lt;&gt;"",'Scoring Data'!N35,"")</f>
      </c>
      <c r="D28" s="64">
        <f>IF('Scoring Data'!U35&lt;&gt;"",'Scoring Data'!U35,"")</f>
      </c>
      <c r="E28" s="65">
        <f>IF('Scoring Data'!AB35&lt;&gt;"",'Scoring Data'!AB35,"")</f>
      </c>
      <c r="F28" s="64">
        <f>IF('Scoring Data'!AI35&lt;&gt;"",'Scoring Data'!AI35,"")</f>
      </c>
      <c r="G28" s="66">
        <f>IF('Scoring Data'!AP35&lt;&gt;"",'Scoring Data'!AP35,"")</f>
      </c>
      <c r="H28" s="77">
        <f t="shared" si="14"/>
      </c>
      <c r="I28" s="78">
        <f t="shared" si="15"/>
      </c>
      <c r="J28" s="79">
        <f t="shared" si="1"/>
      </c>
      <c r="K28" s="79">
        <f t="shared" si="2"/>
      </c>
      <c r="L28" s="79">
        <f t="shared" si="3"/>
      </c>
      <c r="M28" s="79">
        <f t="shared" si="4"/>
      </c>
      <c r="N28" s="79">
        <f t="shared" si="5"/>
      </c>
      <c r="O28" s="79">
        <f t="shared" si="6"/>
      </c>
      <c r="P28" s="77">
        <f t="shared" si="16"/>
      </c>
      <c r="Q28" s="77">
        <f t="shared" si="17"/>
      </c>
      <c r="R28" s="77">
        <f t="shared" si="18"/>
      </c>
      <c r="S28" s="77">
        <f t="shared" si="19"/>
      </c>
      <c r="T28" s="77">
        <f t="shared" si="20"/>
      </c>
      <c r="U28" s="77">
        <f t="shared" si="21"/>
      </c>
      <c r="V28" s="80"/>
      <c r="W28" s="80"/>
    </row>
    <row r="29" spans="1:23" ht="12.75">
      <c r="A29" s="76">
        <f>IF(Exam_21=0,"",Exam_21)</f>
        <v>21</v>
      </c>
      <c r="B29" s="64">
        <f>IF('Scoring Data'!G36&lt;&gt;"",'Scoring Data'!G36,"")</f>
      </c>
      <c r="C29" s="65">
        <f>IF('Scoring Data'!N36&lt;&gt;"",'Scoring Data'!N36,"")</f>
      </c>
      <c r="D29" s="64">
        <f>IF('Scoring Data'!U36&lt;&gt;"",'Scoring Data'!U36,"")</f>
      </c>
      <c r="E29" s="65">
        <f>IF('Scoring Data'!AB36&lt;&gt;"",'Scoring Data'!AB36,"")</f>
      </c>
      <c r="F29" s="64">
        <f>IF('Scoring Data'!AI36&lt;&gt;"",'Scoring Data'!AI36,"")</f>
      </c>
      <c r="G29" s="66">
        <f>IF('Scoring Data'!AP36&lt;&gt;"",'Scoring Data'!AP36,"")</f>
      </c>
      <c r="H29" s="77">
        <f>IF(J29&lt;&gt;"",SUM(P29:U29),"")</f>
      </c>
      <c r="I29" s="78">
        <f aca="true" t="shared" si="22" ref="I29:I34">IF(J29&lt;&gt;"",H29/120*100,"")</f>
      </c>
      <c r="J29" s="79">
        <f>IF(Consensus_B1&lt;&gt;"",IF(B29&lt;&gt;"",B29-Consensus_B1,""),"")</f>
      </c>
      <c r="K29" s="79">
        <f>IF(Consensus_B2&lt;&gt;"",IF(C29&lt;&gt;"",C29-Consensus_B2,""),"")</f>
      </c>
      <c r="L29" s="79">
        <f>IF(Consensus_B3&lt;&gt;"",IF(D29&lt;&gt;"",D29-Consensus_B3,""),"")</f>
      </c>
      <c r="M29" s="79">
        <f>IF(Consensus_B4&lt;&gt;"",IF(E29&lt;&gt;"",E29-Consensus_B4,""),"")</f>
      </c>
      <c r="N29" s="79">
        <f>IF(Consensus_B5&lt;&gt;"",IF(F29&lt;&gt;"",F29-Consensus_B5,""),"")</f>
      </c>
      <c r="O29" s="79">
        <f>IF(Consensus_B6&lt;&gt;"",IF(G29&lt;&gt;"",G29-Consensus_B6,""),"")</f>
      </c>
      <c r="P29" s="77">
        <f aca="true" t="shared" si="23" ref="P29:P34">IF(J29&lt;&gt;"",VLOOKUP(ABS(J29),$V$9:$W$20,2,TRUE),"")</f>
      </c>
      <c r="Q29" s="77">
        <f aca="true" t="shared" si="24" ref="Q29:U32">IF(K29&lt;&gt;"",VLOOKUP(ABS(K29),$V$9:$W$24,2,TRUE),"")</f>
      </c>
      <c r="R29" s="77">
        <f t="shared" si="24"/>
      </c>
      <c r="S29" s="77">
        <f t="shared" si="24"/>
      </c>
      <c r="T29" s="77">
        <f t="shared" si="24"/>
      </c>
      <c r="U29" s="77">
        <f t="shared" si="24"/>
      </c>
      <c r="V29" s="80"/>
      <c r="W29" s="80"/>
    </row>
    <row r="30" spans="1:23" ht="12.75">
      <c r="A30" s="76">
        <f>IF(Exam_22=0,"",Exam_22)</f>
        <v>22</v>
      </c>
      <c r="B30" s="64">
        <f>IF('Scoring Data'!G37&lt;&gt;"",'Scoring Data'!G37,"")</f>
      </c>
      <c r="C30" s="65">
        <f>IF('Scoring Data'!N37&lt;&gt;"",'Scoring Data'!N37,"")</f>
      </c>
      <c r="D30" s="64">
        <f>IF('Scoring Data'!U37&lt;&gt;"",'Scoring Data'!U37,"")</f>
      </c>
      <c r="E30" s="65">
        <f>IF('Scoring Data'!AB37&lt;&gt;"",'Scoring Data'!AB37,"")</f>
      </c>
      <c r="F30" s="64">
        <f>IF('Scoring Data'!AI37&lt;&gt;"",'Scoring Data'!AI37,"")</f>
      </c>
      <c r="G30" s="66">
        <f>IF('Scoring Data'!AP37&lt;&gt;"",'Scoring Data'!AP37,"")</f>
      </c>
      <c r="H30" s="77">
        <f>IF(J30&lt;&gt;"",SUM(P30:U30),"")</f>
      </c>
      <c r="I30" s="78">
        <f t="shared" si="22"/>
      </c>
      <c r="J30" s="79">
        <f>IF(Consensus_B1&lt;&gt;"",IF(B30&lt;&gt;"",B30-Consensus_B1,""),"")</f>
      </c>
      <c r="K30" s="79">
        <f>IF(Consensus_B2&lt;&gt;"",IF(C30&lt;&gt;"",C30-Consensus_B2,""),"")</f>
      </c>
      <c r="L30" s="79">
        <f>IF(Consensus_B3&lt;&gt;"",IF(D30&lt;&gt;"",D30-Consensus_B3,""),"")</f>
      </c>
      <c r="M30" s="79">
        <f>IF(Consensus_B4&lt;&gt;"",IF(E30&lt;&gt;"",E30-Consensus_B4,""),"")</f>
      </c>
      <c r="N30" s="79">
        <f>IF(Consensus_B5&lt;&gt;"",IF(F30&lt;&gt;"",F30-Consensus_B5,""),"")</f>
      </c>
      <c r="O30" s="79">
        <f>IF(Consensus_B6&lt;&gt;"",IF(G30&lt;&gt;"",G30-Consensus_B6,""),"")</f>
      </c>
      <c r="P30" s="77">
        <f t="shared" si="23"/>
      </c>
      <c r="Q30" s="77">
        <f t="shared" si="24"/>
      </c>
      <c r="R30" s="77">
        <f t="shared" si="24"/>
      </c>
      <c r="S30" s="77">
        <f t="shared" si="24"/>
      </c>
      <c r="T30" s="77">
        <f t="shared" si="24"/>
      </c>
      <c r="U30" s="77">
        <f t="shared" si="24"/>
      </c>
      <c r="V30" s="80"/>
      <c r="W30" s="80"/>
    </row>
    <row r="31" spans="1:23" ht="12.75">
      <c r="A31" s="76">
        <f>IF(Exam_23=0,"",Exam_23)</f>
        <v>23</v>
      </c>
      <c r="B31" s="64">
        <f>IF('Scoring Data'!G38&lt;&gt;"",'Scoring Data'!G38,"")</f>
      </c>
      <c r="C31" s="65">
        <f>IF('Scoring Data'!N38&lt;&gt;"",'Scoring Data'!N38,"")</f>
      </c>
      <c r="D31" s="64">
        <f>IF('Scoring Data'!U38&lt;&gt;"",'Scoring Data'!U38,"")</f>
      </c>
      <c r="E31" s="65">
        <f>IF('Scoring Data'!AB38&lt;&gt;"",'Scoring Data'!AB38,"")</f>
      </c>
      <c r="F31" s="64">
        <f>IF('Scoring Data'!AI38&lt;&gt;"",'Scoring Data'!AI38,"")</f>
      </c>
      <c r="G31" s="66">
        <f>IF('Scoring Data'!AP38&lt;&gt;"",'Scoring Data'!AP38,"")</f>
      </c>
      <c r="H31" s="77">
        <f>IF(J31&lt;&gt;"",SUM(P31:U31),"")</f>
      </c>
      <c r="I31" s="78">
        <f t="shared" si="22"/>
      </c>
      <c r="J31" s="79">
        <f>IF(Consensus_B1&lt;&gt;"",IF(B31&lt;&gt;"",B31-Consensus_B1,""),"")</f>
      </c>
      <c r="K31" s="79">
        <f>IF(Consensus_B2&lt;&gt;"",IF(C31&lt;&gt;"",C31-Consensus_B2,""),"")</f>
      </c>
      <c r="L31" s="79">
        <f>IF(Consensus_B3&lt;&gt;"",IF(D31&lt;&gt;"",D31-Consensus_B3,""),"")</f>
      </c>
      <c r="M31" s="79">
        <f>IF(Consensus_B4&lt;&gt;"",IF(E31&lt;&gt;"",E31-Consensus_B4,""),"")</f>
      </c>
      <c r="N31" s="79">
        <f>IF(Consensus_B5&lt;&gt;"",IF(F31&lt;&gt;"",F31-Consensus_B5,""),"")</f>
      </c>
      <c r="O31" s="79">
        <f>IF(Consensus_B6&lt;&gt;"",IF(G31&lt;&gt;"",G31-Consensus_B6,""),"")</f>
      </c>
      <c r="P31" s="77">
        <f t="shared" si="23"/>
      </c>
      <c r="Q31" s="77">
        <f t="shared" si="24"/>
      </c>
      <c r="R31" s="77">
        <f t="shared" si="24"/>
      </c>
      <c r="S31" s="77">
        <f t="shared" si="24"/>
      </c>
      <c r="T31" s="77">
        <f t="shared" si="24"/>
      </c>
      <c r="U31" s="77">
        <f t="shared" si="24"/>
      </c>
      <c r="V31" s="80"/>
      <c r="W31" s="80"/>
    </row>
    <row r="32" spans="1:23" ht="12.75">
      <c r="A32" s="76">
        <f>IF(Exam_24=0,"",Exam_24)</f>
        <v>24</v>
      </c>
      <c r="B32" s="64">
        <f>IF('Scoring Data'!G39&lt;&gt;"",'Scoring Data'!G39,"")</f>
      </c>
      <c r="C32" s="65">
        <f>IF('Scoring Data'!N39&lt;&gt;"",'Scoring Data'!N39,"")</f>
      </c>
      <c r="D32" s="64">
        <f>IF('Scoring Data'!U39&lt;&gt;"",'Scoring Data'!U39,"")</f>
      </c>
      <c r="E32" s="65">
        <f>IF('Scoring Data'!AB39&lt;&gt;"",'Scoring Data'!AB39,"")</f>
      </c>
      <c r="F32" s="64">
        <f>IF('Scoring Data'!AI39&lt;&gt;"",'Scoring Data'!AI39,"")</f>
      </c>
      <c r="G32" s="66">
        <f>IF('Scoring Data'!AP39&lt;&gt;"",'Scoring Data'!AP39,"")</f>
      </c>
      <c r="H32" s="77">
        <f>IF(J32&lt;&gt;"",SUM(P32:U32),"")</f>
      </c>
      <c r="I32" s="78">
        <f t="shared" si="22"/>
      </c>
      <c r="J32" s="79">
        <f>IF(Consensus_B1&lt;&gt;"",IF(B32&lt;&gt;"",B32-Consensus_B1,""),"")</f>
      </c>
      <c r="K32" s="79">
        <f>IF(Consensus_B2&lt;&gt;"",IF(C32&lt;&gt;"",C32-Consensus_B2,""),"")</f>
      </c>
      <c r="L32" s="79">
        <f>IF(Consensus_B3&lt;&gt;"",IF(D32&lt;&gt;"",D32-Consensus_B3,""),"")</f>
      </c>
      <c r="M32" s="79">
        <f>IF(Consensus_B4&lt;&gt;"",IF(E32&lt;&gt;"",E32-Consensus_B4,""),"")</f>
      </c>
      <c r="N32" s="79">
        <f>IF(Consensus_B5&lt;&gt;"",IF(F32&lt;&gt;"",F32-Consensus_B5,""),"")</f>
      </c>
      <c r="O32" s="79">
        <f>IF(Consensus_B6&lt;&gt;"",IF(G32&lt;&gt;"",G32-Consensus_B6,""),"")</f>
      </c>
      <c r="P32" s="77">
        <f t="shared" si="23"/>
      </c>
      <c r="Q32" s="77">
        <f t="shared" si="24"/>
      </c>
      <c r="R32" s="77">
        <f t="shared" si="24"/>
      </c>
      <c r="S32" s="77">
        <f t="shared" si="24"/>
      </c>
      <c r="T32" s="77">
        <f t="shared" si="24"/>
      </c>
      <c r="U32" s="77">
        <f t="shared" si="24"/>
      </c>
      <c r="V32" s="80"/>
      <c r="W32" s="80"/>
    </row>
    <row r="33" spans="1:23" s="1" customFormat="1" ht="12.75">
      <c r="A33" s="81" t="s">
        <v>21</v>
      </c>
      <c r="B33" s="82" t="e">
        <f aca="true" t="shared" si="25" ref="B33:G33">AVERAGE(B4:B7,B9:B23)</f>
        <v>#DIV/0!</v>
      </c>
      <c r="C33" s="82" t="e">
        <f t="shared" si="25"/>
        <v>#DIV/0!</v>
      </c>
      <c r="D33" s="82" t="e">
        <f t="shared" si="25"/>
        <v>#DIV/0!</v>
      </c>
      <c r="E33" s="83" t="e">
        <f t="shared" si="25"/>
        <v>#DIV/0!</v>
      </c>
      <c r="F33" s="83" t="e">
        <f t="shared" si="25"/>
        <v>#DIV/0!</v>
      </c>
      <c r="G33" s="82" t="e">
        <f t="shared" si="25"/>
        <v>#DIV/0!</v>
      </c>
      <c r="H33" s="77">
        <f>IF(J33&lt;&gt;"",VLOOKUP(ABS(J33),V$9:W$16,2,TRUE)+VLOOKUP(ABS(K33),V$9:W$16,2,TRUE)+VLOOKUP(ABS(L33),V$9:W$16,2,TRUE)+VLOOKUP(ABS(M33),V$9:W$16,2,TRUE)+VLOOKUP(ABS(N33),V$9:W$16,2,TRUE)+VLOOKUP(ABS(O33),V$9:W$16,2,TRUE),"")</f>
      </c>
      <c r="I33" s="78">
        <f t="shared" si="22"/>
      </c>
      <c r="J33" s="79">
        <f t="shared" si="1"/>
      </c>
      <c r="K33" s="79">
        <f t="shared" si="2"/>
      </c>
      <c r="L33" s="79">
        <f t="shared" si="3"/>
      </c>
      <c r="M33" s="79">
        <f t="shared" si="4"/>
      </c>
      <c r="N33" s="79">
        <f t="shared" si="5"/>
      </c>
      <c r="O33" s="79">
        <f t="shared" si="6"/>
      </c>
      <c r="P33" s="77">
        <f t="shared" si="23"/>
      </c>
      <c r="Q33" s="77">
        <f aca="true" t="shared" si="26" ref="Q33:U34">IF(K33&lt;&gt;"",VLOOKUP(ABS(K33),$V$9:$W$24,2,TRUE),"")</f>
      </c>
      <c r="R33" s="77">
        <f t="shared" si="26"/>
      </c>
      <c r="S33" s="77">
        <f t="shared" si="26"/>
      </c>
      <c r="T33" s="77">
        <f t="shared" si="26"/>
      </c>
      <c r="U33" s="77">
        <f t="shared" si="26"/>
      </c>
      <c r="V33" s="3"/>
      <c r="W33" s="80"/>
    </row>
    <row r="34" spans="1:23" s="1" customFormat="1" ht="12.75">
      <c r="A34" s="81" t="s">
        <v>22</v>
      </c>
      <c r="B34" s="84" t="e">
        <f aca="true" t="shared" si="27" ref="B34:G34">AVERAGE(B9:B24)</f>
        <v>#DIV/0!</v>
      </c>
      <c r="C34" s="84" t="e">
        <f t="shared" si="27"/>
        <v>#DIV/0!</v>
      </c>
      <c r="D34" s="84" t="e">
        <f t="shared" si="27"/>
        <v>#DIV/0!</v>
      </c>
      <c r="E34" s="85" t="e">
        <f t="shared" si="27"/>
        <v>#DIV/0!</v>
      </c>
      <c r="F34" s="85" t="e">
        <f t="shared" si="27"/>
        <v>#DIV/0!</v>
      </c>
      <c r="G34" s="84" t="e">
        <f t="shared" si="27"/>
        <v>#DIV/0!</v>
      </c>
      <c r="H34" s="77">
        <f>IF(J34&lt;&gt;"",VLOOKUP(ABS(J34),V$9:W$16,2,TRUE)+VLOOKUP(ABS(K34),V$9:W$16,2,TRUE)+VLOOKUP(ABS(L34),V$9:W$16,2,TRUE)+VLOOKUP(ABS(M34),V$9:W$16,2,TRUE)+VLOOKUP(ABS(N34),V$9:W$16,2,TRUE)+VLOOKUP(ABS(O34),V$9:W$16,2,TRUE),"")</f>
      </c>
      <c r="I34" s="78">
        <f t="shared" si="22"/>
      </c>
      <c r="J34" s="79">
        <f t="shared" si="1"/>
      </c>
      <c r="K34" s="79">
        <f t="shared" si="2"/>
      </c>
      <c r="L34" s="79">
        <f t="shared" si="3"/>
      </c>
      <c r="M34" s="79">
        <f t="shared" si="4"/>
      </c>
      <c r="N34" s="79">
        <f t="shared" si="5"/>
      </c>
      <c r="O34" s="79">
        <f t="shared" si="6"/>
      </c>
      <c r="P34" s="77">
        <f t="shared" si="23"/>
      </c>
      <c r="Q34" s="77">
        <f t="shared" si="26"/>
      </c>
      <c r="R34" s="77">
        <f t="shared" si="26"/>
      </c>
      <c r="S34" s="77">
        <f t="shared" si="26"/>
      </c>
      <c r="T34" s="77">
        <f t="shared" si="26"/>
      </c>
      <c r="U34" s="77">
        <f t="shared" si="26"/>
      </c>
      <c r="V34" s="3"/>
      <c r="W34" s="3"/>
    </row>
    <row r="35" spans="1:23" s="1" customFormat="1" ht="12.75">
      <c r="A35" s="2" t="s">
        <v>31</v>
      </c>
      <c r="B35" s="86" t="e">
        <f aca="true" t="shared" si="28" ref="B35:G35">STDEVP(B4:B7,B9:B23)</f>
        <v>#DIV/0!</v>
      </c>
      <c r="C35" s="86" t="e">
        <f t="shared" si="28"/>
        <v>#DIV/0!</v>
      </c>
      <c r="D35" s="86" t="e">
        <f t="shared" si="28"/>
        <v>#DIV/0!</v>
      </c>
      <c r="E35" s="87" t="e">
        <f t="shared" si="28"/>
        <v>#DIV/0!</v>
      </c>
      <c r="F35" s="87" t="e">
        <f t="shared" si="28"/>
        <v>#DIV/0!</v>
      </c>
      <c r="G35" s="86" t="e">
        <f t="shared" si="28"/>
        <v>#DIV/0!</v>
      </c>
      <c r="H35" s="3"/>
      <c r="I35" s="3"/>
      <c r="J35" s="3"/>
      <c r="K35" s="3"/>
      <c r="L35" s="3"/>
      <c r="M35" s="3"/>
      <c r="N35" s="3"/>
      <c r="O35" s="3"/>
      <c r="P35" s="3"/>
      <c r="Q35" s="3"/>
      <c r="R35" s="3"/>
      <c r="S35" s="3"/>
      <c r="T35" s="3"/>
      <c r="U35" s="3"/>
      <c r="V35" s="3"/>
      <c r="W35" s="3"/>
    </row>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5:6" s="1" customFormat="1" ht="12.75">
      <c r="E66" s="18"/>
      <c r="F66" s="18"/>
    </row>
    <row r="67" spans="5:6" s="1" customFormat="1" ht="12.75">
      <c r="E67" s="18"/>
      <c r="F67" s="18"/>
    </row>
    <row r="68" spans="5:6" s="1" customFormat="1" ht="12.75">
      <c r="E68" s="18"/>
      <c r="F68" s="18"/>
    </row>
    <row r="69" spans="5:6" s="1" customFormat="1" ht="12.75">
      <c r="E69" s="18"/>
      <c r="F69" s="18"/>
    </row>
    <row r="70" spans="5:6" s="1" customFormat="1" ht="12.75">
      <c r="E70" s="18"/>
      <c r="F70" s="18"/>
    </row>
    <row r="71" spans="5:6" s="1" customFormat="1" ht="12.75">
      <c r="E71" s="18"/>
      <c r="F71" s="18"/>
    </row>
    <row r="72" spans="5:6" s="1" customFormat="1" ht="12.75">
      <c r="E72" s="18"/>
      <c r="F72" s="18"/>
    </row>
    <row r="73" spans="5:6" s="1" customFormat="1" ht="12.75">
      <c r="E73" s="18"/>
      <c r="F73" s="18"/>
    </row>
    <row r="74" spans="5:6" s="1" customFormat="1" ht="12.75">
      <c r="E74" s="18"/>
      <c r="F74" s="18"/>
    </row>
    <row r="75" spans="5:6" s="1" customFormat="1" ht="12.75">
      <c r="E75" s="18"/>
      <c r="F75" s="18"/>
    </row>
    <row r="76" spans="5:6" s="1" customFormat="1" ht="12.75">
      <c r="E76" s="18"/>
      <c r="F76" s="18"/>
    </row>
    <row r="77" spans="5:6" s="1" customFormat="1" ht="12.75">
      <c r="E77" s="18"/>
      <c r="F77" s="18"/>
    </row>
    <row r="78" spans="5:6" s="1" customFormat="1" ht="12.75">
      <c r="E78" s="18"/>
      <c r="F78" s="18"/>
    </row>
    <row r="79" spans="5:6" s="1" customFormat="1" ht="12.75">
      <c r="E79" s="18"/>
      <c r="F79" s="18"/>
    </row>
    <row r="80" spans="5:6" s="1" customFormat="1" ht="12.75">
      <c r="E80" s="18"/>
      <c r="F80" s="18"/>
    </row>
    <row r="81" spans="5:6" s="1" customFormat="1" ht="12.75">
      <c r="E81" s="18"/>
      <c r="F81" s="18"/>
    </row>
    <row r="82" spans="5:6" s="1" customFormat="1" ht="12.75">
      <c r="E82" s="18"/>
      <c r="F82" s="18"/>
    </row>
    <row r="83" spans="5:6" s="1" customFormat="1" ht="12.75">
      <c r="E83" s="18"/>
      <c r="F83" s="18"/>
    </row>
    <row r="84" spans="5:6" s="1" customFormat="1" ht="12.75">
      <c r="E84" s="18"/>
      <c r="F84" s="18"/>
    </row>
    <row r="85" spans="5:6" s="1" customFormat="1" ht="12.75">
      <c r="E85" s="18"/>
      <c r="F85" s="18"/>
    </row>
    <row r="86" spans="5:6" s="1" customFormat="1" ht="12.75">
      <c r="E86" s="18"/>
      <c r="F86" s="18"/>
    </row>
    <row r="87" spans="5:6" s="1" customFormat="1" ht="12.75">
      <c r="E87" s="18"/>
      <c r="F87" s="18"/>
    </row>
    <row r="88" spans="5:6" s="1" customFormat="1" ht="12.75">
      <c r="E88" s="18"/>
      <c r="F88" s="18"/>
    </row>
    <row r="89" spans="5:6" s="1" customFormat="1" ht="12.75">
      <c r="E89" s="18"/>
      <c r="F89" s="18"/>
    </row>
    <row r="90" spans="5:6" s="1" customFormat="1" ht="12.75">
      <c r="E90" s="18"/>
      <c r="F90" s="18"/>
    </row>
    <row r="91" spans="5:6" s="1" customFormat="1" ht="12.75">
      <c r="E91" s="18"/>
      <c r="F91" s="18"/>
    </row>
    <row r="92" spans="5:6" s="1" customFormat="1" ht="12.75">
      <c r="E92" s="18"/>
      <c r="F92" s="18"/>
    </row>
    <row r="93" spans="5:6" s="1" customFormat="1" ht="12.75">
      <c r="E93" s="18"/>
      <c r="F93" s="18"/>
    </row>
    <row r="94" spans="5:6" s="1" customFormat="1" ht="12.75">
      <c r="E94" s="18"/>
      <c r="F94" s="18"/>
    </row>
    <row r="95" spans="5:6" s="1" customFormat="1" ht="12.75">
      <c r="E95" s="18"/>
      <c r="F95" s="18"/>
    </row>
    <row r="96" spans="5:6" s="1" customFormat="1" ht="12.75">
      <c r="E96" s="18"/>
      <c r="F96" s="18"/>
    </row>
    <row r="97" spans="5:6" s="1" customFormat="1" ht="12.75">
      <c r="E97" s="18"/>
      <c r="F97" s="18"/>
    </row>
    <row r="98" spans="5:6" s="1" customFormat="1" ht="12.75">
      <c r="E98" s="18"/>
      <c r="F98" s="18"/>
    </row>
    <row r="99" spans="5:6" s="1" customFormat="1" ht="12.75">
      <c r="E99" s="18"/>
      <c r="F99" s="18"/>
    </row>
    <row r="100" spans="5:6" s="1" customFormat="1" ht="12.75">
      <c r="E100" s="18"/>
      <c r="F100" s="18"/>
    </row>
    <row r="101" spans="5:6" s="1" customFormat="1" ht="12.75">
      <c r="E101" s="18"/>
      <c r="F101" s="18"/>
    </row>
    <row r="102" spans="5:6" s="1" customFormat="1" ht="12.75">
      <c r="E102" s="18"/>
      <c r="F102" s="18"/>
    </row>
    <row r="103" spans="5:6" s="1" customFormat="1" ht="12.75">
      <c r="E103" s="18"/>
      <c r="F103" s="18"/>
    </row>
    <row r="104" spans="5:6" s="1" customFormat="1" ht="12.75">
      <c r="E104" s="18"/>
      <c r="F104" s="18"/>
    </row>
    <row r="105" spans="5:6" s="1" customFormat="1" ht="12.75">
      <c r="E105" s="18"/>
      <c r="F105" s="18"/>
    </row>
    <row r="106" spans="5:6" s="1" customFormat="1" ht="12.75">
      <c r="E106" s="18"/>
      <c r="F106" s="18"/>
    </row>
    <row r="107" spans="5:6" s="1" customFormat="1" ht="12.75">
      <c r="E107" s="18"/>
      <c r="F107" s="18"/>
    </row>
    <row r="108" spans="5:6" s="1" customFormat="1" ht="12.75">
      <c r="E108" s="18"/>
      <c r="F108" s="18"/>
    </row>
    <row r="109" spans="5:6" s="1" customFormat="1" ht="12.75">
      <c r="E109" s="18"/>
      <c r="F109" s="18"/>
    </row>
    <row r="110" spans="5:6" s="1" customFormat="1" ht="12.75">
      <c r="E110" s="18"/>
      <c r="F110" s="18"/>
    </row>
    <row r="111" spans="5:6" s="1" customFormat="1" ht="12.75">
      <c r="E111" s="18"/>
      <c r="F111" s="18"/>
    </row>
    <row r="112" spans="5:6" s="1" customFormat="1" ht="12.75">
      <c r="E112" s="18"/>
      <c r="F112" s="18"/>
    </row>
    <row r="113" spans="5:6" s="1" customFormat="1" ht="12.75">
      <c r="E113" s="18"/>
      <c r="F113" s="18"/>
    </row>
    <row r="114" spans="5:6" s="1" customFormat="1" ht="12.75">
      <c r="E114" s="18"/>
      <c r="F114" s="18"/>
    </row>
    <row r="115" spans="5:6" s="1" customFormat="1" ht="12.75">
      <c r="E115" s="18"/>
      <c r="F115" s="18"/>
    </row>
    <row r="116" spans="5:6" s="1" customFormat="1" ht="12.75">
      <c r="E116" s="18"/>
      <c r="F116" s="18"/>
    </row>
    <row r="117" spans="5:6" s="1" customFormat="1" ht="12.75">
      <c r="E117" s="18"/>
      <c r="F117" s="18"/>
    </row>
    <row r="118" spans="5:6" s="1" customFormat="1" ht="12.75">
      <c r="E118" s="18"/>
      <c r="F118" s="18"/>
    </row>
    <row r="119" spans="5:6" s="1" customFormat="1" ht="12.75">
      <c r="E119" s="18"/>
      <c r="F119" s="18"/>
    </row>
    <row r="120" spans="5:6" s="1" customFormat="1" ht="12.75">
      <c r="E120" s="18"/>
      <c r="F120" s="18"/>
    </row>
    <row r="121" spans="5:6" s="1" customFormat="1" ht="12.75">
      <c r="E121" s="18"/>
      <c r="F121" s="18"/>
    </row>
    <row r="122" spans="5:6" s="1" customFormat="1" ht="12.75">
      <c r="E122" s="18"/>
      <c r="F122" s="18"/>
    </row>
    <row r="123" spans="5:6" s="1" customFormat="1" ht="12.75">
      <c r="E123" s="18"/>
      <c r="F123" s="18"/>
    </row>
    <row r="124" spans="5:6" s="1" customFormat="1" ht="12.75">
      <c r="E124" s="18"/>
      <c r="F124" s="18"/>
    </row>
    <row r="125" spans="5:6" s="1" customFormat="1" ht="12.75">
      <c r="E125" s="18"/>
      <c r="F125" s="18"/>
    </row>
  </sheetData>
  <sheetProtection/>
  <mergeCells count="2">
    <mergeCell ref="J8:O8"/>
    <mergeCell ref="P8:U8"/>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5:AQ39"/>
  <sheetViews>
    <sheetView zoomScalePageLayoutView="0" workbookViewId="0" topLeftCell="A1">
      <selection activeCell="AK11" sqref="AK11:AP27"/>
    </sheetView>
  </sheetViews>
  <sheetFormatPr defaultColWidth="8.75390625" defaultRowHeight="12.75"/>
  <cols>
    <col min="1" max="1" width="11.625" style="80" customWidth="1"/>
    <col min="2" max="43" width="3.625" style="80" customWidth="1"/>
    <col min="44" max="16384" width="8.75390625" style="80" customWidth="1"/>
  </cols>
  <sheetData>
    <row r="5" spans="1:43" s="58" customFormat="1" ht="12.75">
      <c r="A5" s="94"/>
      <c r="B5" s="172" t="s">
        <v>126</v>
      </c>
      <c r="C5" s="173"/>
      <c r="D5" s="173"/>
      <c r="E5" s="173"/>
      <c r="F5" s="173"/>
      <c r="G5" s="174"/>
      <c r="H5" s="95"/>
      <c r="I5" s="172" t="s">
        <v>127</v>
      </c>
      <c r="J5" s="173"/>
      <c r="K5" s="173"/>
      <c r="L5" s="173"/>
      <c r="M5" s="173"/>
      <c r="N5" s="174"/>
      <c r="O5" s="95"/>
      <c r="P5" s="172" t="s">
        <v>128</v>
      </c>
      <c r="Q5" s="173"/>
      <c r="R5" s="173"/>
      <c r="S5" s="173"/>
      <c r="T5" s="173"/>
      <c r="U5" s="174"/>
      <c r="V5" s="95"/>
      <c r="W5" s="172" t="s">
        <v>129</v>
      </c>
      <c r="X5" s="173"/>
      <c r="Y5" s="173"/>
      <c r="Z5" s="173"/>
      <c r="AA5" s="173"/>
      <c r="AB5" s="174"/>
      <c r="AC5" s="95"/>
      <c r="AD5" s="172" t="s">
        <v>130</v>
      </c>
      <c r="AE5" s="173"/>
      <c r="AF5" s="173"/>
      <c r="AG5" s="173"/>
      <c r="AH5" s="173"/>
      <c r="AI5" s="174"/>
      <c r="AJ5" s="95"/>
      <c r="AK5" s="172" t="s">
        <v>131</v>
      </c>
      <c r="AL5" s="173"/>
      <c r="AM5" s="173"/>
      <c r="AN5" s="173"/>
      <c r="AO5" s="173"/>
      <c r="AP5" s="174"/>
      <c r="AQ5" s="96"/>
    </row>
    <row r="6" spans="1:43" s="58" customFormat="1" ht="12.75" customHeight="1">
      <c r="A6" s="94"/>
      <c r="B6" s="175" t="s">
        <v>24</v>
      </c>
      <c r="C6" s="166" t="s">
        <v>23</v>
      </c>
      <c r="D6" s="175" t="s">
        <v>25</v>
      </c>
      <c r="E6" s="166" t="s">
        <v>26</v>
      </c>
      <c r="F6" s="175" t="s">
        <v>28</v>
      </c>
      <c r="G6" s="166" t="s">
        <v>30</v>
      </c>
      <c r="H6" s="169" t="s">
        <v>29</v>
      </c>
      <c r="I6" s="175" t="s">
        <v>24</v>
      </c>
      <c r="J6" s="166" t="s">
        <v>23</v>
      </c>
      <c r="K6" s="175" t="s">
        <v>25</v>
      </c>
      <c r="L6" s="166" t="s">
        <v>26</v>
      </c>
      <c r="M6" s="175" t="s">
        <v>27</v>
      </c>
      <c r="N6" s="166" t="s">
        <v>30</v>
      </c>
      <c r="O6" s="169" t="s">
        <v>29</v>
      </c>
      <c r="P6" s="175" t="s">
        <v>24</v>
      </c>
      <c r="Q6" s="166" t="s">
        <v>23</v>
      </c>
      <c r="R6" s="175" t="s">
        <v>25</v>
      </c>
      <c r="S6" s="166" t="s">
        <v>26</v>
      </c>
      <c r="T6" s="175" t="s">
        <v>27</v>
      </c>
      <c r="U6" s="166" t="s">
        <v>30</v>
      </c>
      <c r="V6" s="169" t="s">
        <v>29</v>
      </c>
      <c r="W6" s="175" t="s">
        <v>24</v>
      </c>
      <c r="X6" s="166" t="s">
        <v>23</v>
      </c>
      <c r="Y6" s="175" t="s">
        <v>25</v>
      </c>
      <c r="Z6" s="166" t="s">
        <v>26</v>
      </c>
      <c r="AA6" s="175" t="s">
        <v>27</v>
      </c>
      <c r="AB6" s="166" t="s">
        <v>30</v>
      </c>
      <c r="AC6" s="169" t="s">
        <v>29</v>
      </c>
      <c r="AD6" s="175" t="s">
        <v>24</v>
      </c>
      <c r="AE6" s="166" t="s">
        <v>23</v>
      </c>
      <c r="AF6" s="175" t="s">
        <v>25</v>
      </c>
      <c r="AG6" s="166" t="s">
        <v>26</v>
      </c>
      <c r="AH6" s="175" t="s">
        <v>27</v>
      </c>
      <c r="AI6" s="166" t="s">
        <v>30</v>
      </c>
      <c r="AJ6" s="169" t="s">
        <v>29</v>
      </c>
      <c r="AK6" s="175" t="s">
        <v>24</v>
      </c>
      <c r="AL6" s="166" t="s">
        <v>23</v>
      </c>
      <c r="AM6" s="175" t="s">
        <v>25</v>
      </c>
      <c r="AN6" s="166" t="s">
        <v>26</v>
      </c>
      <c r="AO6" s="175" t="s">
        <v>27</v>
      </c>
      <c r="AP6" s="166" t="s">
        <v>30</v>
      </c>
      <c r="AQ6" s="169" t="s">
        <v>29</v>
      </c>
    </row>
    <row r="7" spans="1:43" s="58" customFormat="1" ht="12.75">
      <c r="A7" s="94"/>
      <c r="B7" s="176"/>
      <c r="C7" s="167"/>
      <c r="D7" s="176"/>
      <c r="E7" s="167"/>
      <c r="F7" s="176"/>
      <c r="G7" s="167"/>
      <c r="H7" s="170"/>
      <c r="I7" s="176"/>
      <c r="J7" s="167"/>
      <c r="K7" s="176"/>
      <c r="L7" s="167"/>
      <c r="M7" s="176"/>
      <c r="N7" s="167"/>
      <c r="O7" s="170"/>
      <c r="P7" s="176"/>
      <c r="Q7" s="167"/>
      <c r="R7" s="176"/>
      <c r="S7" s="167"/>
      <c r="T7" s="176"/>
      <c r="U7" s="167"/>
      <c r="V7" s="170"/>
      <c r="W7" s="176"/>
      <c r="X7" s="167"/>
      <c r="Y7" s="176"/>
      <c r="Z7" s="167"/>
      <c r="AA7" s="176"/>
      <c r="AB7" s="167"/>
      <c r="AC7" s="170"/>
      <c r="AD7" s="176"/>
      <c r="AE7" s="167"/>
      <c r="AF7" s="176"/>
      <c r="AG7" s="167"/>
      <c r="AH7" s="176"/>
      <c r="AI7" s="167"/>
      <c r="AJ7" s="170"/>
      <c r="AK7" s="176"/>
      <c r="AL7" s="167"/>
      <c r="AM7" s="176"/>
      <c r="AN7" s="167"/>
      <c r="AO7" s="176"/>
      <c r="AP7" s="167"/>
      <c r="AQ7" s="170"/>
    </row>
    <row r="8" spans="1:43" s="58" customFormat="1" ht="12.75">
      <c r="A8" s="94"/>
      <c r="B8" s="176"/>
      <c r="C8" s="167"/>
      <c r="D8" s="176"/>
      <c r="E8" s="167"/>
      <c r="F8" s="176"/>
      <c r="G8" s="167"/>
      <c r="H8" s="170"/>
      <c r="I8" s="176"/>
      <c r="J8" s="167"/>
      <c r="K8" s="176"/>
      <c r="L8" s="167"/>
      <c r="M8" s="176"/>
      <c r="N8" s="167"/>
      <c r="O8" s="170"/>
      <c r="P8" s="176"/>
      <c r="Q8" s="167"/>
      <c r="R8" s="176"/>
      <c r="S8" s="167"/>
      <c r="T8" s="176"/>
      <c r="U8" s="167"/>
      <c r="V8" s="170"/>
      <c r="W8" s="176"/>
      <c r="X8" s="167"/>
      <c r="Y8" s="176"/>
      <c r="Z8" s="167"/>
      <c r="AA8" s="176"/>
      <c r="AB8" s="167"/>
      <c r="AC8" s="170"/>
      <c r="AD8" s="176"/>
      <c r="AE8" s="167"/>
      <c r="AF8" s="176"/>
      <c r="AG8" s="167"/>
      <c r="AH8" s="176"/>
      <c r="AI8" s="167"/>
      <c r="AJ8" s="170"/>
      <c r="AK8" s="176"/>
      <c r="AL8" s="167"/>
      <c r="AM8" s="176"/>
      <c r="AN8" s="167"/>
      <c r="AO8" s="176"/>
      <c r="AP8" s="167"/>
      <c r="AQ8" s="170"/>
    </row>
    <row r="9" spans="1:43" s="58" customFormat="1" ht="12.75">
      <c r="A9" s="94"/>
      <c r="B9" s="176"/>
      <c r="C9" s="167"/>
      <c r="D9" s="176"/>
      <c r="E9" s="167"/>
      <c r="F9" s="176"/>
      <c r="G9" s="167"/>
      <c r="H9" s="170"/>
      <c r="I9" s="176"/>
      <c r="J9" s="167"/>
      <c r="K9" s="176"/>
      <c r="L9" s="167"/>
      <c r="M9" s="176"/>
      <c r="N9" s="167"/>
      <c r="O9" s="170"/>
      <c r="P9" s="176"/>
      <c r="Q9" s="167"/>
      <c r="R9" s="176"/>
      <c r="S9" s="167"/>
      <c r="T9" s="176"/>
      <c r="U9" s="167"/>
      <c r="V9" s="170"/>
      <c r="W9" s="176"/>
      <c r="X9" s="167"/>
      <c r="Y9" s="176"/>
      <c r="Z9" s="167"/>
      <c r="AA9" s="176"/>
      <c r="AB9" s="167"/>
      <c r="AC9" s="170"/>
      <c r="AD9" s="176"/>
      <c r="AE9" s="167"/>
      <c r="AF9" s="176"/>
      <c r="AG9" s="167"/>
      <c r="AH9" s="176"/>
      <c r="AI9" s="167"/>
      <c r="AJ9" s="170"/>
      <c r="AK9" s="176"/>
      <c r="AL9" s="167"/>
      <c r="AM9" s="176"/>
      <c r="AN9" s="167"/>
      <c r="AO9" s="176"/>
      <c r="AP9" s="167"/>
      <c r="AQ9" s="170"/>
    </row>
    <row r="10" spans="1:43" s="58" customFormat="1" ht="12.75">
      <c r="A10" s="94"/>
      <c r="B10" s="177"/>
      <c r="C10" s="168"/>
      <c r="D10" s="177"/>
      <c r="E10" s="168"/>
      <c r="F10" s="177"/>
      <c r="G10" s="168"/>
      <c r="H10" s="171"/>
      <c r="I10" s="177"/>
      <c r="J10" s="168"/>
      <c r="K10" s="177"/>
      <c r="L10" s="168"/>
      <c r="M10" s="177"/>
      <c r="N10" s="168"/>
      <c r="O10" s="171"/>
      <c r="P10" s="177"/>
      <c r="Q10" s="168"/>
      <c r="R10" s="177"/>
      <c r="S10" s="168"/>
      <c r="T10" s="177"/>
      <c r="U10" s="168"/>
      <c r="V10" s="171"/>
      <c r="W10" s="177"/>
      <c r="X10" s="168"/>
      <c r="Y10" s="177"/>
      <c r="Z10" s="168"/>
      <c r="AA10" s="177"/>
      <c r="AB10" s="168"/>
      <c r="AC10" s="171"/>
      <c r="AD10" s="177"/>
      <c r="AE10" s="168"/>
      <c r="AF10" s="177"/>
      <c r="AG10" s="168"/>
      <c r="AH10" s="177"/>
      <c r="AI10" s="168"/>
      <c r="AJ10" s="171"/>
      <c r="AK10" s="177"/>
      <c r="AL10" s="168"/>
      <c r="AM10" s="177"/>
      <c r="AN10" s="168"/>
      <c r="AO10" s="177"/>
      <c r="AP10" s="168"/>
      <c r="AQ10" s="171"/>
    </row>
    <row r="11" spans="1:43" s="58" customFormat="1" ht="12.75">
      <c r="A11" s="94"/>
      <c r="B11" s="97"/>
      <c r="C11" s="98"/>
      <c r="D11" s="97"/>
      <c r="E11" s="98"/>
      <c r="F11" s="97"/>
      <c r="G11" s="98"/>
      <c r="H11" s="99">
        <f>IF(B11&lt;&gt;"",SUM(B11:F11),"")</f>
      </c>
      <c r="I11" s="100"/>
      <c r="J11" s="101"/>
      <c r="K11" s="100"/>
      <c r="L11" s="101"/>
      <c r="M11" s="100"/>
      <c r="N11" s="101"/>
      <c r="O11" s="99">
        <f>IF(I11&lt;&gt;"",SUM(I11:M11),"")</f>
      </c>
      <c r="P11" s="100"/>
      <c r="Q11" s="101"/>
      <c r="R11" s="100"/>
      <c r="S11" s="101"/>
      <c r="T11" s="100"/>
      <c r="U11" s="101"/>
      <c r="V11" s="99">
        <f>IF(P11&lt;&gt;"",SUM(P11:T11),"")</f>
      </c>
      <c r="W11" s="100"/>
      <c r="X11" s="101"/>
      <c r="Y11" s="100"/>
      <c r="Z11" s="101"/>
      <c r="AA11" s="100"/>
      <c r="AB11" s="101"/>
      <c r="AC11" s="99">
        <f>IF(W11&lt;&gt;"",SUM(W11:AA11),"")</f>
      </c>
      <c r="AD11" s="100"/>
      <c r="AE11" s="101"/>
      <c r="AF11" s="100"/>
      <c r="AG11" s="101"/>
      <c r="AH11" s="100"/>
      <c r="AI11" s="101"/>
      <c r="AJ11" s="99">
        <f>IF(AD11&lt;&gt;"",SUM(AD11:AH11),"")</f>
      </c>
      <c r="AK11" s="100"/>
      <c r="AL11" s="101"/>
      <c r="AM11" s="100"/>
      <c r="AN11" s="101"/>
      <c r="AO11" s="100"/>
      <c r="AP11" s="101"/>
      <c r="AQ11" s="99">
        <f>IF(AK11&lt;&gt;"",SUM(AK11:AO11),"")</f>
      </c>
    </row>
    <row r="12" spans="1:43" s="58" customFormat="1" ht="12.75">
      <c r="A12" s="94"/>
      <c r="B12" s="100"/>
      <c r="C12" s="101"/>
      <c r="D12" s="100"/>
      <c r="E12" s="101"/>
      <c r="F12" s="100"/>
      <c r="G12" s="101"/>
      <c r="H12" s="99">
        <f aca="true" t="shared" si="0" ref="H12:H35">IF(B12&lt;&gt;"",SUM(B12:F12),"")</f>
      </c>
      <c r="I12" s="100"/>
      <c r="J12" s="101"/>
      <c r="K12" s="100"/>
      <c r="L12" s="101"/>
      <c r="M12" s="100"/>
      <c r="N12" s="101"/>
      <c r="O12" s="99">
        <f aca="true" t="shared" si="1" ref="O12:O35">IF(I12&lt;&gt;"",SUM(I12:M12),"")</f>
      </c>
      <c r="P12" s="100"/>
      <c r="Q12" s="101"/>
      <c r="R12" s="100"/>
      <c r="S12" s="101"/>
      <c r="T12" s="100"/>
      <c r="U12" s="101"/>
      <c r="V12" s="99">
        <f aca="true" t="shared" si="2" ref="V12:V35">IF(P12&lt;&gt;"",SUM(P12:T12),"")</f>
      </c>
      <c r="W12" s="100"/>
      <c r="X12" s="101"/>
      <c r="Y12" s="100"/>
      <c r="Z12" s="101"/>
      <c r="AA12" s="100"/>
      <c r="AB12" s="101"/>
      <c r="AC12" s="99">
        <f aca="true" t="shared" si="3" ref="AC12:AC35">IF(W12&lt;&gt;"",SUM(W12:AA12),"")</f>
      </c>
      <c r="AD12" s="100"/>
      <c r="AE12" s="101"/>
      <c r="AF12" s="100"/>
      <c r="AG12" s="101"/>
      <c r="AH12" s="100"/>
      <c r="AI12" s="101"/>
      <c r="AJ12" s="99">
        <f aca="true" t="shared" si="4" ref="AJ12:AJ35">IF(AD12&lt;&gt;"",SUM(AD12:AH12),"")</f>
      </c>
      <c r="AK12" s="100"/>
      <c r="AL12" s="101"/>
      <c r="AM12" s="100"/>
      <c r="AN12" s="101"/>
      <c r="AO12" s="100"/>
      <c r="AP12" s="101"/>
      <c r="AQ12" s="99">
        <f>IF(AK12&lt;&gt;"",SUM(AK12:AO12),"")</f>
      </c>
    </row>
    <row r="13" spans="1:43" s="58" customFormat="1" ht="12.75">
      <c r="A13" s="102"/>
      <c r="B13" s="97"/>
      <c r="C13" s="98"/>
      <c r="D13" s="97"/>
      <c r="E13" s="98"/>
      <c r="F13" s="97"/>
      <c r="G13" s="98"/>
      <c r="H13" s="99">
        <f t="shared" si="0"/>
      </c>
      <c r="I13" s="100"/>
      <c r="J13" s="101"/>
      <c r="K13" s="100"/>
      <c r="L13" s="101"/>
      <c r="M13" s="100"/>
      <c r="N13" s="101"/>
      <c r="O13" s="99">
        <f t="shared" si="1"/>
      </c>
      <c r="P13" s="100"/>
      <c r="Q13" s="101"/>
      <c r="R13" s="100"/>
      <c r="S13" s="101"/>
      <c r="T13" s="100"/>
      <c r="U13" s="101"/>
      <c r="V13" s="99">
        <f t="shared" si="2"/>
      </c>
      <c r="W13" s="100"/>
      <c r="X13" s="101"/>
      <c r="Y13" s="100"/>
      <c r="Z13" s="101"/>
      <c r="AA13" s="100"/>
      <c r="AB13" s="101"/>
      <c r="AC13" s="99">
        <f t="shared" si="3"/>
      </c>
      <c r="AD13" s="100"/>
      <c r="AE13" s="101"/>
      <c r="AF13" s="100"/>
      <c r="AG13" s="101"/>
      <c r="AH13" s="100"/>
      <c r="AI13" s="101"/>
      <c r="AJ13" s="99">
        <f t="shared" si="4"/>
      </c>
      <c r="AK13" s="100"/>
      <c r="AL13" s="101"/>
      <c r="AM13" s="100"/>
      <c r="AN13" s="101"/>
      <c r="AO13" s="100"/>
      <c r="AP13" s="101"/>
      <c r="AQ13" s="99">
        <f>IF(AK13&lt;&gt;"",SUM(AK13:AO13),"")</f>
      </c>
    </row>
    <row r="14" spans="1:43" s="58" customFormat="1" ht="12.75">
      <c r="A14" s="94"/>
      <c r="B14" s="97"/>
      <c r="C14" s="98"/>
      <c r="D14" s="97"/>
      <c r="E14" s="98"/>
      <c r="F14" s="97"/>
      <c r="G14" s="98"/>
      <c r="H14" s="99">
        <f t="shared" si="0"/>
      </c>
      <c r="I14" s="100"/>
      <c r="J14" s="101"/>
      <c r="K14" s="100"/>
      <c r="L14" s="101"/>
      <c r="M14" s="100"/>
      <c r="N14" s="101"/>
      <c r="O14" s="99">
        <f t="shared" si="1"/>
      </c>
      <c r="P14" s="100"/>
      <c r="Q14" s="101"/>
      <c r="R14" s="100"/>
      <c r="S14" s="101"/>
      <c r="T14" s="100"/>
      <c r="U14" s="101"/>
      <c r="V14" s="99">
        <f t="shared" si="2"/>
      </c>
      <c r="W14" s="100"/>
      <c r="X14" s="101"/>
      <c r="Y14" s="100"/>
      <c r="Z14" s="101"/>
      <c r="AA14" s="100"/>
      <c r="AB14" s="101"/>
      <c r="AC14" s="99">
        <f t="shared" si="3"/>
      </c>
      <c r="AD14" s="100"/>
      <c r="AE14" s="101"/>
      <c r="AF14" s="100"/>
      <c r="AG14" s="101"/>
      <c r="AH14" s="100"/>
      <c r="AI14" s="101"/>
      <c r="AJ14" s="99">
        <f t="shared" si="4"/>
      </c>
      <c r="AK14" s="100"/>
      <c r="AL14" s="101"/>
      <c r="AM14" s="100"/>
      <c r="AN14" s="101"/>
      <c r="AO14" s="100"/>
      <c r="AP14" s="101"/>
      <c r="AQ14" s="99"/>
    </row>
    <row r="15" spans="1:43" s="58" customFormat="1" ht="12.75">
      <c r="A15" s="94" t="s">
        <v>20</v>
      </c>
      <c r="B15" s="103"/>
      <c r="C15" s="104"/>
      <c r="D15" s="103"/>
      <c r="E15" s="104"/>
      <c r="F15" s="103"/>
      <c r="G15" s="104"/>
      <c r="H15" s="99">
        <f t="shared" si="0"/>
      </c>
      <c r="I15" s="105"/>
      <c r="J15" s="106"/>
      <c r="K15" s="105"/>
      <c r="L15" s="106"/>
      <c r="M15" s="105"/>
      <c r="N15" s="106"/>
      <c r="O15" s="99">
        <f t="shared" si="1"/>
      </c>
      <c r="P15" s="105"/>
      <c r="Q15" s="106"/>
      <c r="R15" s="105"/>
      <c r="S15" s="106"/>
      <c r="T15" s="105"/>
      <c r="U15" s="106"/>
      <c r="V15" s="99">
        <f t="shared" si="2"/>
      </c>
      <c r="W15" s="105"/>
      <c r="X15" s="106"/>
      <c r="Y15" s="105"/>
      <c r="Z15" s="106"/>
      <c r="AA15" s="105"/>
      <c r="AB15" s="106"/>
      <c r="AC15" s="99">
        <f t="shared" si="3"/>
      </c>
      <c r="AD15" s="105"/>
      <c r="AE15" s="106"/>
      <c r="AF15" s="105"/>
      <c r="AG15" s="106"/>
      <c r="AH15" s="105"/>
      <c r="AI15" s="106"/>
      <c r="AJ15" s="99">
        <f t="shared" si="4"/>
      </c>
      <c r="AK15" s="105"/>
      <c r="AL15" s="106"/>
      <c r="AM15" s="105"/>
      <c r="AN15" s="106"/>
      <c r="AO15" s="105"/>
      <c r="AP15" s="106"/>
      <c r="AQ15" s="99">
        <f aca="true" t="shared" si="5" ref="AQ15:AQ35">IF(AK15&lt;&gt;"",SUM(AK15:AO15),"")</f>
      </c>
    </row>
    <row r="16" spans="1:43" s="58" customFormat="1" ht="12.75">
      <c r="A16" s="76">
        <f>IF(Exam_01=0,"",Exam_01)</f>
        <v>1</v>
      </c>
      <c r="B16" s="100"/>
      <c r="C16" s="101"/>
      <c r="D16" s="100"/>
      <c r="E16" s="101"/>
      <c r="F16" s="100"/>
      <c r="G16" s="101"/>
      <c r="H16" s="99">
        <f t="shared" si="0"/>
      </c>
      <c r="I16" s="100"/>
      <c r="J16" s="101"/>
      <c r="K16" s="100"/>
      <c r="L16" s="101"/>
      <c r="M16" s="100"/>
      <c r="N16" s="101"/>
      <c r="O16" s="99">
        <f t="shared" si="1"/>
      </c>
      <c r="P16" s="100"/>
      <c r="Q16" s="101"/>
      <c r="R16" s="100"/>
      <c r="S16" s="101"/>
      <c r="T16" s="100"/>
      <c r="U16" s="101"/>
      <c r="V16" s="99">
        <f t="shared" si="2"/>
      </c>
      <c r="W16" s="100"/>
      <c r="X16" s="101"/>
      <c r="Y16" s="100"/>
      <c r="Z16" s="101"/>
      <c r="AA16" s="100"/>
      <c r="AB16" s="101"/>
      <c r="AC16" s="99">
        <f t="shared" si="3"/>
      </c>
      <c r="AD16" s="100"/>
      <c r="AE16" s="101"/>
      <c r="AF16" s="100"/>
      <c r="AG16" s="101"/>
      <c r="AH16" s="100"/>
      <c r="AI16" s="101"/>
      <c r="AJ16" s="99">
        <f t="shared" si="4"/>
      </c>
      <c r="AK16" s="100"/>
      <c r="AL16" s="101"/>
      <c r="AM16" s="100"/>
      <c r="AN16" s="101"/>
      <c r="AO16" s="100"/>
      <c r="AP16" s="101"/>
      <c r="AQ16" s="99">
        <f t="shared" si="5"/>
      </c>
    </row>
    <row r="17" spans="1:43" ht="12.75">
      <c r="A17" s="76">
        <f>IF(Exam_02=0,"",Exam_02)</f>
        <v>2</v>
      </c>
      <c r="B17" s="100"/>
      <c r="C17" s="101"/>
      <c r="D17" s="100"/>
      <c r="E17" s="101"/>
      <c r="F17" s="100"/>
      <c r="G17" s="101"/>
      <c r="H17" s="99">
        <f t="shared" si="0"/>
      </c>
      <c r="I17" s="100"/>
      <c r="J17" s="101"/>
      <c r="K17" s="100"/>
      <c r="L17" s="101"/>
      <c r="M17" s="100"/>
      <c r="N17" s="101"/>
      <c r="O17" s="99">
        <f t="shared" si="1"/>
      </c>
      <c r="P17" s="100"/>
      <c r="Q17" s="101"/>
      <c r="R17" s="100"/>
      <c r="S17" s="101"/>
      <c r="T17" s="100"/>
      <c r="U17" s="101"/>
      <c r="V17" s="99">
        <f t="shared" si="2"/>
      </c>
      <c r="W17" s="100"/>
      <c r="X17" s="101"/>
      <c r="Y17" s="100"/>
      <c r="Z17" s="101"/>
      <c r="AA17" s="100"/>
      <c r="AB17" s="101"/>
      <c r="AC17" s="99">
        <f t="shared" si="3"/>
      </c>
      <c r="AD17" s="100"/>
      <c r="AE17" s="101"/>
      <c r="AF17" s="100"/>
      <c r="AG17" s="101"/>
      <c r="AH17" s="100"/>
      <c r="AI17" s="101"/>
      <c r="AJ17" s="99">
        <f t="shared" si="4"/>
      </c>
      <c r="AK17" s="100"/>
      <c r="AL17" s="101"/>
      <c r="AM17" s="100"/>
      <c r="AN17" s="101"/>
      <c r="AO17" s="100"/>
      <c r="AP17" s="101"/>
      <c r="AQ17" s="99">
        <f t="shared" si="5"/>
      </c>
    </row>
    <row r="18" spans="1:43" ht="12.75">
      <c r="A18" s="76">
        <f>IF(Exam_03=0,"",Exam_03)</f>
        <v>3</v>
      </c>
      <c r="B18" s="100"/>
      <c r="C18" s="107"/>
      <c r="D18" s="108"/>
      <c r="E18" s="107"/>
      <c r="F18" s="108"/>
      <c r="G18" s="107"/>
      <c r="H18" s="99">
        <f t="shared" si="0"/>
      </c>
      <c r="I18" s="100"/>
      <c r="J18" s="107"/>
      <c r="K18" s="108"/>
      <c r="L18" s="107"/>
      <c r="M18" s="108"/>
      <c r="N18" s="107"/>
      <c r="O18" s="99">
        <f t="shared" si="1"/>
      </c>
      <c r="P18" s="100"/>
      <c r="Q18" s="107"/>
      <c r="R18" s="108"/>
      <c r="S18" s="107"/>
      <c r="T18" s="108"/>
      <c r="U18" s="107"/>
      <c r="V18" s="99">
        <f t="shared" si="2"/>
      </c>
      <c r="W18" s="100"/>
      <c r="X18" s="107"/>
      <c r="Y18" s="108"/>
      <c r="Z18" s="107"/>
      <c r="AA18" s="108"/>
      <c r="AB18" s="107"/>
      <c r="AC18" s="99">
        <f t="shared" si="3"/>
      </c>
      <c r="AD18" s="100"/>
      <c r="AE18" s="107"/>
      <c r="AF18" s="108"/>
      <c r="AG18" s="107"/>
      <c r="AH18" s="108"/>
      <c r="AI18" s="107"/>
      <c r="AJ18" s="99">
        <f t="shared" si="4"/>
      </c>
      <c r="AK18" s="100"/>
      <c r="AL18" s="107"/>
      <c r="AM18" s="108"/>
      <c r="AN18" s="107"/>
      <c r="AO18" s="108"/>
      <c r="AP18" s="107"/>
      <c r="AQ18" s="99">
        <f t="shared" si="5"/>
      </c>
    </row>
    <row r="19" spans="1:43" ht="12.75">
      <c r="A19" s="76">
        <f>IF(Exam_04=0,"",Exam_04)</f>
        <v>4</v>
      </c>
      <c r="B19" s="100"/>
      <c r="C19" s="107"/>
      <c r="D19" s="108"/>
      <c r="E19" s="107"/>
      <c r="F19" s="108"/>
      <c r="G19" s="107"/>
      <c r="H19" s="99">
        <f t="shared" si="0"/>
      </c>
      <c r="I19" s="100"/>
      <c r="J19" s="107"/>
      <c r="K19" s="108"/>
      <c r="L19" s="107"/>
      <c r="M19" s="108"/>
      <c r="N19" s="107"/>
      <c r="O19" s="99">
        <f t="shared" si="1"/>
      </c>
      <c r="P19" s="100"/>
      <c r="Q19" s="107"/>
      <c r="R19" s="108"/>
      <c r="S19" s="107"/>
      <c r="T19" s="108"/>
      <c r="U19" s="107"/>
      <c r="V19" s="99">
        <f t="shared" si="2"/>
      </c>
      <c r="W19" s="100"/>
      <c r="X19" s="107"/>
      <c r="Y19" s="108"/>
      <c r="Z19" s="107"/>
      <c r="AA19" s="108"/>
      <c r="AB19" s="107"/>
      <c r="AC19" s="99">
        <f t="shared" si="3"/>
      </c>
      <c r="AD19" s="100"/>
      <c r="AE19" s="107"/>
      <c r="AF19" s="108"/>
      <c r="AG19" s="107"/>
      <c r="AH19" s="108"/>
      <c r="AI19" s="107"/>
      <c r="AJ19" s="99">
        <f t="shared" si="4"/>
      </c>
      <c r="AK19" s="100"/>
      <c r="AL19" s="107"/>
      <c r="AM19" s="108"/>
      <c r="AN19" s="107"/>
      <c r="AO19" s="108"/>
      <c r="AP19" s="107"/>
      <c r="AQ19" s="99">
        <f t="shared" si="5"/>
      </c>
    </row>
    <row r="20" spans="1:43" ht="12.75">
      <c r="A20" s="76">
        <f>IF(Exam_05=0,"",Exam_05)</f>
        <v>5</v>
      </c>
      <c r="B20" s="100"/>
      <c r="C20" s="107"/>
      <c r="D20" s="108"/>
      <c r="E20" s="107"/>
      <c r="F20" s="108"/>
      <c r="G20" s="107"/>
      <c r="H20" s="99">
        <f t="shared" si="0"/>
      </c>
      <c r="I20" s="100"/>
      <c r="J20" s="107"/>
      <c r="K20" s="108"/>
      <c r="L20" s="107"/>
      <c r="M20" s="108"/>
      <c r="N20" s="107"/>
      <c r="O20" s="99">
        <f t="shared" si="1"/>
      </c>
      <c r="P20" s="100"/>
      <c r="Q20" s="107"/>
      <c r="R20" s="108"/>
      <c r="S20" s="107"/>
      <c r="T20" s="108"/>
      <c r="U20" s="107"/>
      <c r="V20" s="99">
        <f t="shared" si="2"/>
      </c>
      <c r="W20" s="100"/>
      <c r="X20" s="107"/>
      <c r="Y20" s="108"/>
      <c r="Z20" s="107"/>
      <c r="AA20" s="108"/>
      <c r="AB20" s="107"/>
      <c r="AC20" s="99">
        <f t="shared" si="3"/>
      </c>
      <c r="AD20" s="100"/>
      <c r="AE20" s="107"/>
      <c r="AF20" s="108"/>
      <c r="AG20" s="107"/>
      <c r="AH20" s="108"/>
      <c r="AI20" s="107"/>
      <c r="AJ20" s="99">
        <f t="shared" si="4"/>
      </c>
      <c r="AK20" s="100"/>
      <c r="AL20" s="107"/>
      <c r="AM20" s="108"/>
      <c r="AN20" s="107"/>
      <c r="AO20" s="108"/>
      <c r="AP20" s="107"/>
      <c r="AQ20" s="99">
        <f t="shared" si="5"/>
      </c>
    </row>
    <row r="21" spans="1:43" ht="12.75">
      <c r="A21" s="76">
        <f>IF(Exam_06=0,"",Exam_06)</f>
        <v>6</v>
      </c>
      <c r="B21" s="100"/>
      <c r="C21" s="107"/>
      <c r="D21" s="108"/>
      <c r="E21" s="107"/>
      <c r="F21" s="108"/>
      <c r="G21" s="107"/>
      <c r="H21" s="99">
        <f t="shared" si="0"/>
      </c>
      <c r="I21" s="100"/>
      <c r="J21" s="107"/>
      <c r="K21" s="108"/>
      <c r="L21" s="107"/>
      <c r="M21" s="108"/>
      <c r="N21" s="107"/>
      <c r="O21" s="99">
        <f t="shared" si="1"/>
      </c>
      <c r="P21" s="100"/>
      <c r="Q21" s="107"/>
      <c r="R21" s="108"/>
      <c r="S21" s="107"/>
      <c r="T21" s="108"/>
      <c r="U21" s="107"/>
      <c r="V21" s="99">
        <f t="shared" si="2"/>
      </c>
      <c r="W21" s="100"/>
      <c r="X21" s="107"/>
      <c r="Y21" s="108"/>
      <c r="Z21" s="107"/>
      <c r="AA21" s="108"/>
      <c r="AB21" s="107"/>
      <c r="AC21" s="99">
        <f t="shared" si="3"/>
      </c>
      <c r="AD21" s="100"/>
      <c r="AE21" s="107"/>
      <c r="AF21" s="108"/>
      <c r="AG21" s="107"/>
      <c r="AH21" s="108"/>
      <c r="AI21" s="107"/>
      <c r="AJ21" s="99">
        <f t="shared" si="4"/>
      </c>
      <c r="AK21" s="100"/>
      <c r="AL21" s="107"/>
      <c r="AM21" s="108"/>
      <c r="AN21" s="107"/>
      <c r="AO21" s="108"/>
      <c r="AP21" s="107"/>
      <c r="AQ21" s="99">
        <f t="shared" si="5"/>
      </c>
    </row>
    <row r="22" spans="1:43" ht="12.75">
      <c r="A22" s="76">
        <f>IF(Exam_07=0,"",Exam_07)</f>
        <v>7</v>
      </c>
      <c r="B22" s="100"/>
      <c r="C22" s="101"/>
      <c r="D22" s="100"/>
      <c r="E22" s="101"/>
      <c r="F22" s="100"/>
      <c r="G22" s="101"/>
      <c r="H22" s="99">
        <f t="shared" si="0"/>
      </c>
      <c r="I22" s="100"/>
      <c r="J22" s="101"/>
      <c r="K22" s="100"/>
      <c r="L22" s="101"/>
      <c r="M22" s="100"/>
      <c r="N22" s="101"/>
      <c r="O22" s="99">
        <f t="shared" si="1"/>
      </c>
      <c r="P22" s="100"/>
      <c r="Q22" s="107"/>
      <c r="R22" s="108"/>
      <c r="S22" s="107"/>
      <c r="T22" s="108"/>
      <c r="U22" s="107"/>
      <c r="V22" s="99">
        <f t="shared" si="2"/>
      </c>
      <c r="W22" s="100"/>
      <c r="X22" s="107"/>
      <c r="Y22" s="108"/>
      <c r="Z22" s="107"/>
      <c r="AA22" s="108"/>
      <c r="AB22" s="107"/>
      <c r="AC22" s="99">
        <f t="shared" si="3"/>
      </c>
      <c r="AD22" s="100"/>
      <c r="AE22" s="107"/>
      <c r="AF22" s="108"/>
      <c r="AG22" s="107"/>
      <c r="AH22" s="108"/>
      <c r="AI22" s="107"/>
      <c r="AJ22" s="99">
        <f t="shared" si="4"/>
      </c>
      <c r="AK22" s="100"/>
      <c r="AL22" s="107"/>
      <c r="AM22" s="108"/>
      <c r="AN22" s="107"/>
      <c r="AO22" s="108"/>
      <c r="AP22" s="107"/>
      <c r="AQ22" s="99">
        <f t="shared" si="5"/>
      </c>
    </row>
    <row r="23" spans="1:43" ht="12.75">
      <c r="A23" s="76">
        <f>IF(Exam_08=0,"",Exam_08)</f>
        <v>8</v>
      </c>
      <c r="B23" s="100"/>
      <c r="C23" s="101"/>
      <c r="D23" s="100"/>
      <c r="E23" s="101"/>
      <c r="F23" s="100"/>
      <c r="G23" s="101"/>
      <c r="H23" s="99">
        <f t="shared" si="0"/>
      </c>
      <c r="I23" s="100"/>
      <c r="J23" s="101"/>
      <c r="K23" s="100"/>
      <c r="L23" s="101"/>
      <c r="M23" s="100"/>
      <c r="N23" s="101"/>
      <c r="O23" s="99">
        <f t="shared" si="1"/>
      </c>
      <c r="P23" s="100"/>
      <c r="Q23" s="107"/>
      <c r="R23" s="108"/>
      <c r="S23" s="107"/>
      <c r="T23" s="108"/>
      <c r="U23" s="107"/>
      <c r="V23" s="99">
        <f t="shared" si="2"/>
      </c>
      <c r="W23" s="100"/>
      <c r="X23" s="107"/>
      <c r="Y23" s="108"/>
      <c r="Z23" s="107"/>
      <c r="AA23" s="108"/>
      <c r="AB23" s="107"/>
      <c r="AC23" s="99">
        <f t="shared" si="3"/>
      </c>
      <c r="AD23" s="100"/>
      <c r="AE23" s="107"/>
      <c r="AF23" s="108"/>
      <c r="AG23" s="107"/>
      <c r="AH23" s="108"/>
      <c r="AI23" s="107"/>
      <c r="AJ23" s="99">
        <f t="shared" si="4"/>
      </c>
      <c r="AK23" s="100"/>
      <c r="AL23" s="107"/>
      <c r="AM23" s="108"/>
      <c r="AN23" s="107"/>
      <c r="AO23" s="108"/>
      <c r="AP23" s="107"/>
      <c r="AQ23" s="99">
        <f t="shared" si="5"/>
      </c>
    </row>
    <row r="24" spans="1:43" ht="12.75">
      <c r="A24" s="76">
        <f>IF(Exam_09=0,"",Exam_09)</f>
        <v>9</v>
      </c>
      <c r="B24" s="100"/>
      <c r="C24" s="101"/>
      <c r="D24" s="100"/>
      <c r="E24" s="101"/>
      <c r="F24" s="100"/>
      <c r="G24" s="101"/>
      <c r="H24" s="99">
        <f t="shared" si="0"/>
      </c>
      <c r="I24" s="100"/>
      <c r="J24" s="101"/>
      <c r="K24" s="100"/>
      <c r="L24" s="101"/>
      <c r="M24" s="100"/>
      <c r="N24" s="101"/>
      <c r="O24" s="99">
        <f t="shared" si="1"/>
      </c>
      <c r="P24" s="100"/>
      <c r="Q24" s="107"/>
      <c r="R24" s="108"/>
      <c r="S24" s="107"/>
      <c r="T24" s="108"/>
      <c r="U24" s="107"/>
      <c r="V24" s="99">
        <f t="shared" si="2"/>
      </c>
      <c r="W24" s="100"/>
      <c r="X24" s="107"/>
      <c r="Y24" s="108"/>
      <c r="Z24" s="107"/>
      <c r="AA24" s="108"/>
      <c r="AB24" s="107"/>
      <c r="AC24" s="99">
        <f t="shared" si="3"/>
      </c>
      <c r="AD24" s="100"/>
      <c r="AE24" s="107"/>
      <c r="AF24" s="108"/>
      <c r="AG24" s="107"/>
      <c r="AH24" s="108"/>
      <c r="AI24" s="107"/>
      <c r="AJ24" s="99">
        <f t="shared" si="4"/>
      </c>
      <c r="AK24" s="100"/>
      <c r="AL24" s="107"/>
      <c r="AM24" s="108"/>
      <c r="AN24" s="107"/>
      <c r="AO24" s="108"/>
      <c r="AP24" s="107"/>
      <c r="AQ24" s="99">
        <f t="shared" si="5"/>
      </c>
    </row>
    <row r="25" spans="1:43" ht="12.75">
      <c r="A25" s="76">
        <f>IF(Exam_10=0,"",Exam_10)</f>
        <v>10</v>
      </c>
      <c r="B25" s="108"/>
      <c r="C25" s="107"/>
      <c r="D25" s="108"/>
      <c r="E25" s="107"/>
      <c r="F25" s="108"/>
      <c r="G25" s="107"/>
      <c r="H25" s="99">
        <f t="shared" si="0"/>
      </c>
      <c r="I25" s="108"/>
      <c r="J25" s="107"/>
      <c r="K25" s="108"/>
      <c r="L25" s="107"/>
      <c r="M25" s="108"/>
      <c r="N25" s="107"/>
      <c r="O25" s="99">
        <f t="shared" si="1"/>
      </c>
      <c r="P25" s="108"/>
      <c r="Q25" s="107"/>
      <c r="R25" s="108"/>
      <c r="S25" s="107"/>
      <c r="T25" s="108"/>
      <c r="U25" s="107"/>
      <c r="V25" s="99">
        <f t="shared" si="2"/>
      </c>
      <c r="W25" s="108"/>
      <c r="X25" s="107"/>
      <c r="Y25" s="108"/>
      <c r="Z25" s="107"/>
      <c r="AA25" s="108"/>
      <c r="AB25" s="107"/>
      <c r="AC25" s="99">
        <f t="shared" si="3"/>
      </c>
      <c r="AD25" s="108"/>
      <c r="AE25" s="107"/>
      <c r="AF25" s="108"/>
      <c r="AG25" s="107"/>
      <c r="AH25" s="108"/>
      <c r="AI25" s="107"/>
      <c r="AJ25" s="99">
        <f t="shared" si="4"/>
      </c>
      <c r="AK25" s="108"/>
      <c r="AL25" s="107"/>
      <c r="AM25" s="108"/>
      <c r="AN25" s="107"/>
      <c r="AO25" s="108"/>
      <c r="AP25" s="107"/>
      <c r="AQ25" s="99">
        <f t="shared" si="5"/>
      </c>
    </row>
    <row r="26" spans="1:43" ht="12.75">
      <c r="A26" s="76">
        <f>IF(Exam_11=0,"",Exam_11)</f>
        <v>11</v>
      </c>
      <c r="B26" s="108"/>
      <c r="C26" s="107"/>
      <c r="D26" s="108"/>
      <c r="E26" s="107"/>
      <c r="F26" s="108"/>
      <c r="G26" s="107"/>
      <c r="H26" s="99">
        <f t="shared" si="0"/>
      </c>
      <c r="I26" s="108"/>
      <c r="J26" s="107"/>
      <c r="K26" s="108"/>
      <c r="L26" s="107"/>
      <c r="M26" s="108"/>
      <c r="N26" s="107"/>
      <c r="O26" s="99">
        <f t="shared" si="1"/>
      </c>
      <c r="P26" s="108"/>
      <c r="Q26" s="107"/>
      <c r="R26" s="108"/>
      <c r="S26" s="107"/>
      <c r="T26" s="108"/>
      <c r="U26" s="107"/>
      <c r="V26" s="99">
        <f t="shared" si="2"/>
      </c>
      <c r="W26" s="108"/>
      <c r="X26" s="107"/>
      <c r="Y26" s="108"/>
      <c r="Z26" s="107"/>
      <c r="AA26" s="108"/>
      <c r="AB26" s="107"/>
      <c r="AC26" s="99">
        <f t="shared" si="3"/>
      </c>
      <c r="AD26" s="108"/>
      <c r="AE26" s="107"/>
      <c r="AF26" s="108"/>
      <c r="AG26" s="107"/>
      <c r="AH26" s="108"/>
      <c r="AI26" s="107"/>
      <c r="AJ26" s="99">
        <f t="shared" si="4"/>
      </c>
      <c r="AK26" s="108"/>
      <c r="AL26" s="107"/>
      <c r="AM26" s="108"/>
      <c r="AN26" s="107"/>
      <c r="AO26" s="108"/>
      <c r="AP26" s="107"/>
      <c r="AQ26" s="99">
        <f t="shared" si="5"/>
      </c>
    </row>
    <row r="27" spans="1:43" ht="12.75">
      <c r="A27" s="76">
        <f>IF(Exam_12=0,"",Exam_12)</f>
        <v>12</v>
      </c>
      <c r="B27" s="100"/>
      <c r="C27" s="101"/>
      <c r="D27" s="100"/>
      <c r="E27" s="101"/>
      <c r="F27" s="100"/>
      <c r="G27" s="101"/>
      <c r="H27" s="99">
        <f t="shared" si="0"/>
      </c>
      <c r="I27" s="100"/>
      <c r="J27" s="101"/>
      <c r="K27" s="100"/>
      <c r="L27" s="101"/>
      <c r="M27" s="100"/>
      <c r="N27" s="101"/>
      <c r="O27" s="99">
        <f t="shared" si="1"/>
      </c>
      <c r="P27" s="100"/>
      <c r="Q27" s="101"/>
      <c r="R27" s="100"/>
      <c r="S27" s="101"/>
      <c r="T27" s="100"/>
      <c r="U27" s="101"/>
      <c r="V27" s="99">
        <f t="shared" si="2"/>
      </c>
      <c r="W27" s="100"/>
      <c r="X27" s="101"/>
      <c r="Y27" s="100"/>
      <c r="Z27" s="101"/>
      <c r="AA27" s="100"/>
      <c r="AB27" s="101"/>
      <c r="AC27" s="99">
        <f t="shared" si="3"/>
      </c>
      <c r="AD27" s="100"/>
      <c r="AE27" s="101"/>
      <c r="AF27" s="100"/>
      <c r="AG27" s="101"/>
      <c r="AH27" s="100"/>
      <c r="AI27" s="101"/>
      <c r="AJ27" s="99">
        <f t="shared" si="4"/>
      </c>
      <c r="AK27" s="100"/>
      <c r="AL27" s="101"/>
      <c r="AM27" s="100"/>
      <c r="AN27" s="101"/>
      <c r="AO27" s="100"/>
      <c r="AP27" s="101"/>
      <c r="AQ27" s="99">
        <f t="shared" si="5"/>
      </c>
    </row>
    <row r="28" spans="1:43" ht="12.75">
      <c r="A28" s="76">
        <f>IF(Exam_13=0,"",Exam_13)</f>
        <v>13</v>
      </c>
      <c r="B28" s="100"/>
      <c r="C28" s="101"/>
      <c r="D28" s="100"/>
      <c r="E28" s="101"/>
      <c r="F28" s="100"/>
      <c r="G28" s="101"/>
      <c r="H28" s="99">
        <f t="shared" si="0"/>
      </c>
      <c r="I28" s="100"/>
      <c r="J28" s="101"/>
      <c r="K28" s="100"/>
      <c r="L28" s="101"/>
      <c r="M28" s="100"/>
      <c r="N28" s="101"/>
      <c r="O28" s="99">
        <f t="shared" si="1"/>
      </c>
      <c r="P28" s="100"/>
      <c r="Q28" s="101"/>
      <c r="R28" s="100"/>
      <c r="S28" s="101"/>
      <c r="T28" s="100"/>
      <c r="U28" s="101"/>
      <c r="V28" s="99">
        <f t="shared" si="2"/>
      </c>
      <c r="W28" s="100"/>
      <c r="X28" s="101"/>
      <c r="Y28" s="100"/>
      <c r="Z28" s="101"/>
      <c r="AA28" s="100"/>
      <c r="AB28" s="101"/>
      <c r="AC28" s="99">
        <f t="shared" si="3"/>
      </c>
      <c r="AD28" s="100"/>
      <c r="AE28" s="101"/>
      <c r="AF28" s="100"/>
      <c r="AG28" s="101"/>
      <c r="AH28" s="100"/>
      <c r="AI28" s="101"/>
      <c r="AJ28" s="99">
        <f t="shared" si="4"/>
      </c>
      <c r="AK28" s="100"/>
      <c r="AL28" s="101"/>
      <c r="AM28" s="100"/>
      <c r="AN28" s="101"/>
      <c r="AO28" s="100"/>
      <c r="AP28" s="101"/>
      <c r="AQ28" s="99">
        <f t="shared" si="5"/>
      </c>
    </row>
    <row r="29" spans="1:43" ht="12.75">
      <c r="A29" s="76">
        <f>IF(Exam_14=0,"",Exam_14)</f>
        <v>14</v>
      </c>
      <c r="B29" s="100"/>
      <c r="C29" s="107"/>
      <c r="D29" s="108"/>
      <c r="E29" s="107"/>
      <c r="F29" s="108"/>
      <c r="G29" s="107"/>
      <c r="H29" s="99">
        <f t="shared" si="0"/>
      </c>
      <c r="I29" s="100"/>
      <c r="J29" s="107"/>
      <c r="K29" s="108"/>
      <c r="L29" s="107"/>
      <c r="M29" s="108"/>
      <c r="N29" s="107"/>
      <c r="O29" s="99">
        <f t="shared" si="1"/>
      </c>
      <c r="P29" s="100"/>
      <c r="Q29" s="107"/>
      <c r="R29" s="108"/>
      <c r="S29" s="107"/>
      <c r="T29" s="108"/>
      <c r="U29" s="107"/>
      <c r="V29" s="99">
        <f t="shared" si="2"/>
      </c>
      <c r="W29" s="100"/>
      <c r="X29" s="107"/>
      <c r="Y29" s="108"/>
      <c r="Z29" s="107"/>
      <c r="AA29" s="108"/>
      <c r="AB29" s="107"/>
      <c r="AC29" s="99">
        <f t="shared" si="3"/>
      </c>
      <c r="AD29" s="100"/>
      <c r="AE29" s="107"/>
      <c r="AF29" s="108"/>
      <c r="AG29" s="107"/>
      <c r="AH29" s="108"/>
      <c r="AI29" s="107"/>
      <c r="AJ29" s="99">
        <f t="shared" si="4"/>
      </c>
      <c r="AK29" s="100"/>
      <c r="AL29" s="107"/>
      <c r="AM29" s="108"/>
      <c r="AN29" s="107"/>
      <c r="AO29" s="108"/>
      <c r="AP29" s="107"/>
      <c r="AQ29" s="99">
        <f t="shared" si="5"/>
      </c>
    </row>
    <row r="30" spans="1:43" ht="12.75">
      <c r="A30" s="76">
        <f>IF(Exam_15=0,"",Exam_15)</f>
        <v>15</v>
      </c>
      <c r="B30" s="100"/>
      <c r="C30" s="107"/>
      <c r="D30" s="108"/>
      <c r="E30" s="107"/>
      <c r="F30" s="108"/>
      <c r="G30" s="107"/>
      <c r="H30" s="99">
        <f t="shared" si="0"/>
      </c>
      <c r="I30" s="100"/>
      <c r="J30" s="107"/>
      <c r="K30" s="108"/>
      <c r="L30" s="107"/>
      <c r="M30" s="108"/>
      <c r="N30" s="107"/>
      <c r="O30" s="99">
        <f t="shared" si="1"/>
      </c>
      <c r="P30" s="100"/>
      <c r="Q30" s="107"/>
      <c r="R30" s="108"/>
      <c r="S30" s="107"/>
      <c r="T30" s="108"/>
      <c r="U30" s="107"/>
      <c r="V30" s="99">
        <f t="shared" si="2"/>
      </c>
      <c r="W30" s="100"/>
      <c r="X30" s="107"/>
      <c r="Y30" s="108"/>
      <c r="Z30" s="107"/>
      <c r="AA30" s="108"/>
      <c r="AB30" s="107"/>
      <c r="AC30" s="99">
        <f t="shared" si="3"/>
      </c>
      <c r="AD30" s="100"/>
      <c r="AE30" s="107"/>
      <c r="AF30" s="108"/>
      <c r="AG30" s="107"/>
      <c r="AH30" s="108"/>
      <c r="AI30" s="107"/>
      <c r="AJ30" s="99">
        <f t="shared" si="4"/>
      </c>
      <c r="AK30" s="100"/>
      <c r="AL30" s="107"/>
      <c r="AM30" s="108"/>
      <c r="AN30" s="107"/>
      <c r="AO30" s="108"/>
      <c r="AP30" s="107"/>
      <c r="AQ30" s="99">
        <f t="shared" si="5"/>
      </c>
    </row>
    <row r="31" spans="1:43" ht="12.75">
      <c r="A31" s="76">
        <f>IF(Exam_16=0,"",Exam_16)</f>
        <v>16</v>
      </c>
      <c r="B31" s="100"/>
      <c r="C31" s="107"/>
      <c r="D31" s="108"/>
      <c r="E31" s="107"/>
      <c r="F31" s="108"/>
      <c r="G31" s="107"/>
      <c r="H31" s="99">
        <f t="shared" si="0"/>
      </c>
      <c r="I31" s="100"/>
      <c r="J31" s="107"/>
      <c r="K31" s="108"/>
      <c r="L31" s="107"/>
      <c r="M31" s="108"/>
      <c r="N31" s="107"/>
      <c r="O31" s="99">
        <f t="shared" si="1"/>
      </c>
      <c r="P31" s="100"/>
      <c r="Q31" s="107"/>
      <c r="R31" s="108"/>
      <c r="S31" s="107"/>
      <c r="T31" s="108"/>
      <c r="U31" s="107"/>
      <c r="V31" s="99">
        <f t="shared" si="2"/>
      </c>
      <c r="W31" s="100"/>
      <c r="X31" s="107"/>
      <c r="Y31" s="108"/>
      <c r="Z31" s="107"/>
      <c r="AA31" s="108"/>
      <c r="AB31" s="107"/>
      <c r="AC31" s="99">
        <f t="shared" si="3"/>
      </c>
      <c r="AD31" s="100"/>
      <c r="AE31" s="107"/>
      <c r="AF31" s="108"/>
      <c r="AG31" s="107"/>
      <c r="AH31" s="108"/>
      <c r="AI31" s="107"/>
      <c r="AJ31" s="99">
        <f t="shared" si="4"/>
      </c>
      <c r="AK31" s="100"/>
      <c r="AL31" s="107"/>
      <c r="AM31" s="108"/>
      <c r="AN31" s="107"/>
      <c r="AO31" s="108"/>
      <c r="AP31" s="107"/>
      <c r="AQ31" s="99">
        <f t="shared" si="5"/>
      </c>
    </row>
    <row r="32" spans="1:43" ht="12.75">
      <c r="A32" s="76">
        <f>IF(Exam_17=0,"",Exam_17)</f>
        <v>17</v>
      </c>
      <c r="B32" s="100"/>
      <c r="C32" s="107"/>
      <c r="D32" s="108"/>
      <c r="E32" s="107"/>
      <c r="F32" s="108"/>
      <c r="G32" s="107"/>
      <c r="H32" s="99">
        <f t="shared" si="0"/>
      </c>
      <c r="I32" s="100"/>
      <c r="J32" s="107"/>
      <c r="K32" s="108"/>
      <c r="L32" s="107"/>
      <c r="M32" s="108"/>
      <c r="N32" s="107"/>
      <c r="O32" s="99">
        <f t="shared" si="1"/>
      </c>
      <c r="P32" s="100"/>
      <c r="Q32" s="107"/>
      <c r="R32" s="108"/>
      <c r="S32" s="107"/>
      <c r="T32" s="108"/>
      <c r="U32" s="107"/>
      <c r="V32" s="99">
        <f t="shared" si="2"/>
      </c>
      <c r="W32" s="100"/>
      <c r="X32" s="107"/>
      <c r="Y32" s="108"/>
      <c r="Z32" s="107"/>
      <c r="AA32" s="108"/>
      <c r="AB32" s="107"/>
      <c r="AC32" s="99">
        <f t="shared" si="3"/>
      </c>
      <c r="AD32" s="100"/>
      <c r="AE32" s="107"/>
      <c r="AF32" s="108"/>
      <c r="AG32" s="107"/>
      <c r="AH32" s="108"/>
      <c r="AI32" s="107"/>
      <c r="AJ32" s="99">
        <f t="shared" si="4"/>
      </c>
      <c r="AK32" s="100"/>
      <c r="AL32" s="107"/>
      <c r="AM32" s="108"/>
      <c r="AN32" s="107"/>
      <c r="AO32" s="108"/>
      <c r="AP32" s="107"/>
      <c r="AQ32" s="99">
        <f t="shared" si="5"/>
      </c>
    </row>
    <row r="33" spans="1:43" ht="12.75">
      <c r="A33" s="76">
        <f>IF(Exam_18=0,"",Exam_18)</f>
        <v>18</v>
      </c>
      <c r="B33" s="100"/>
      <c r="C33" s="101"/>
      <c r="D33" s="100"/>
      <c r="E33" s="101"/>
      <c r="F33" s="100"/>
      <c r="G33" s="101"/>
      <c r="H33" s="99">
        <f t="shared" si="0"/>
      </c>
      <c r="I33" s="100"/>
      <c r="J33" s="101"/>
      <c r="K33" s="100"/>
      <c r="L33" s="101"/>
      <c r="M33" s="100"/>
      <c r="N33" s="101"/>
      <c r="O33" s="99">
        <f t="shared" si="1"/>
      </c>
      <c r="P33" s="100"/>
      <c r="Q33" s="107"/>
      <c r="R33" s="108"/>
      <c r="S33" s="107"/>
      <c r="T33" s="108"/>
      <c r="U33" s="107"/>
      <c r="V33" s="99">
        <f t="shared" si="2"/>
      </c>
      <c r="W33" s="100"/>
      <c r="X33" s="107"/>
      <c r="Y33" s="108"/>
      <c r="Z33" s="107"/>
      <c r="AA33" s="108"/>
      <c r="AB33" s="107"/>
      <c r="AC33" s="99">
        <f t="shared" si="3"/>
      </c>
      <c r="AD33" s="100"/>
      <c r="AE33" s="107"/>
      <c r="AF33" s="108"/>
      <c r="AG33" s="107"/>
      <c r="AH33" s="108"/>
      <c r="AI33" s="107"/>
      <c r="AJ33" s="99">
        <f t="shared" si="4"/>
      </c>
      <c r="AK33" s="100"/>
      <c r="AL33" s="107"/>
      <c r="AM33" s="108"/>
      <c r="AN33" s="107"/>
      <c r="AO33" s="108"/>
      <c r="AP33" s="107"/>
      <c r="AQ33" s="99">
        <f t="shared" si="5"/>
      </c>
    </row>
    <row r="34" spans="1:43" ht="12.75">
      <c r="A34" s="76">
        <f>IF(Exam_19=0,"",Exam_19)</f>
        <v>19</v>
      </c>
      <c r="B34" s="100"/>
      <c r="C34" s="101"/>
      <c r="D34" s="100"/>
      <c r="E34" s="101"/>
      <c r="F34" s="100"/>
      <c r="G34" s="101"/>
      <c r="H34" s="99">
        <f t="shared" si="0"/>
      </c>
      <c r="I34" s="100"/>
      <c r="J34" s="101"/>
      <c r="K34" s="100"/>
      <c r="L34" s="101"/>
      <c r="M34" s="100"/>
      <c r="N34" s="101"/>
      <c r="O34" s="99">
        <f t="shared" si="1"/>
      </c>
      <c r="P34" s="100"/>
      <c r="Q34" s="107"/>
      <c r="R34" s="108"/>
      <c r="S34" s="107"/>
      <c r="T34" s="108"/>
      <c r="U34" s="107"/>
      <c r="V34" s="99">
        <f t="shared" si="2"/>
      </c>
      <c r="W34" s="100"/>
      <c r="X34" s="107"/>
      <c r="Y34" s="108"/>
      <c r="Z34" s="107"/>
      <c r="AA34" s="108"/>
      <c r="AB34" s="107"/>
      <c r="AC34" s="99">
        <f t="shared" si="3"/>
      </c>
      <c r="AD34" s="100"/>
      <c r="AE34" s="107"/>
      <c r="AF34" s="108"/>
      <c r="AG34" s="107"/>
      <c r="AH34" s="108"/>
      <c r="AI34" s="107"/>
      <c r="AJ34" s="99">
        <f t="shared" si="4"/>
      </c>
      <c r="AK34" s="100"/>
      <c r="AL34" s="107"/>
      <c r="AM34" s="108"/>
      <c r="AN34" s="107"/>
      <c r="AO34" s="108"/>
      <c r="AP34" s="107"/>
      <c r="AQ34" s="99">
        <f t="shared" si="5"/>
      </c>
    </row>
    <row r="35" spans="1:43" ht="12.75">
      <c r="A35" s="76">
        <f>IF(Exam_20=0,"",Exam_20)</f>
        <v>20</v>
      </c>
      <c r="B35" s="100"/>
      <c r="C35" s="101"/>
      <c r="D35" s="100"/>
      <c r="E35" s="101"/>
      <c r="F35" s="100"/>
      <c r="G35" s="101"/>
      <c r="H35" s="99">
        <f t="shared" si="0"/>
      </c>
      <c r="I35" s="100"/>
      <c r="J35" s="101"/>
      <c r="K35" s="100"/>
      <c r="L35" s="101"/>
      <c r="M35" s="100"/>
      <c r="N35" s="101"/>
      <c r="O35" s="99">
        <f t="shared" si="1"/>
      </c>
      <c r="P35" s="100"/>
      <c r="Q35" s="107"/>
      <c r="R35" s="108"/>
      <c r="S35" s="107"/>
      <c r="T35" s="108"/>
      <c r="U35" s="107"/>
      <c r="V35" s="99">
        <f t="shared" si="2"/>
      </c>
      <c r="W35" s="100"/>
      <c r="X35" s="107"/>
      <c r="Y35" s="108"/>
      <c r="Z35" s="107"/>
      <c r="AA35" s="108"/>
      <c r="AB35" s="107"/>
      <c r="AC35" s="99">
        <f t="shared" si="3"/>
      </c>
      <c r="AD35" s="100"/>
      <c r="AE35" s="107"/>
      <c r="AF35" s="108"/>
      <c r="AG35" s="107"/>
      <c r="AH35" s="108"/>
      <c r="AI35" s="107"/>
      <c r="AJ35" s="99">
        <f t="shared" si="4"/>
      </c>
      <c r="AK35" s="100"/>
      <c r="AL35" s="107"/>
      <c r="AM35" s="108"/>
      <c r="AN35" s="107"/>
      <c r="AO35" s="108"/>
      <c r="AP35" s="107"/>
      <c r="AQ35" s="99">
        <f t="shared" si="5"/>
      </c>
    </row>
    <row r="36" spans="1:43" ht="12.75">
      <c r="A36" s="76">
        <f>IF(Exam_21=0,"",Exam_21)</f>
        <v>21</v>
      </c>
      <c r="B36" s="100"/>
      <c r="C36" s="107"/>
      <c r="D36" s="108"/>
      <c r="E36" s="107"/>
      <c r="F36" s="108"/>
      <c r="G36" s="107"/>
      <c r="H36" s="99">
        <f>IF(B36&lt;&gt;"",SUM(B36:F36),"")</f>
      </c>
      <c r="I36" s="100"/>
      <c r="J36" s="107"/>
      <c r="K36" s="108"/>
      <c r="L36" s="107"/>
      <c r="M36" s="108"/>
      <c r="N36" s="107"/>
      <c r="O36" s="99">
        <f>IF(I36&lt;&gt;"",SUM(I36:M36),"")</f>
      </c>
      <c r="P36" s="100"/>
      <c r="Q36" s="107"/>
      <c r="R36" s="108"/>
      <c r="S36" s="107"/>
      <c r="T36" s="108"/>
      <c r="U36" s="107"/>
      <c r="V36" s="99">
        <f>IF(P36&lt;&gt;"",SUM(P36:T36),"")</f>
      </c>
      <c r="W36" s="100"/>
      <c r="X36" s="107"/>
      <c r="Y36" s="108"/>
      <c r="Z36" s="107"/>
      <c r="AA36" s="108"/>
      <c r="AB36" s="107"/>
      <c r="AC36" s="99">
        <f>IF(W36&lt;&gt;"",SUM(W36:AA36),"")</f>
      </c>
      <c r="AD36" s="100"/>
      <c r="AE36" s="107"/>
      <c r="AF36" s="108"/>
      <c r="AG36" s="107"/>
      <c r="AH36" s="108"/>
      <c r="AI36" s="107"/>
      <c r="AJ36" s="99">
        <f>IF(AD36&lt;&gt;"",SUM(AD36:AH36),"")</f>
      </c>
      <c r="AK36" s="100"/>
      <c r="AL36" s="107"/>
      <c r="AM36" s="108"/>
      <c r="AN36" s="107"/>
      <c r="AO36" s="108"/>
      <c r="AP36" s="107"/>
      <c r="AQ36" s="99">
        <f>IF(AK36&lt;&gt;"",SUM(AK36:AO36),"")</f>
      </c>
    </row>
    <row r="37" spans="1:43" ht="12.75">
      <c r="A37" s="76">
        <f>IF(Exam_22=0,"",Exam_22)</f>
        <v>22</v>
      </c>
      <c r="B37" s="100"/>
      <c r="C37" s="101"/>
      <c r="D37" s="100"/>
      <c r="E37" s="101"/>
      <c r="F37" s="100"/>
      <c r="G37" s="101"/>
      <c r="H37" s="99">
        <f>IF(B37&lt;&gt;"",SUM(B37:F37),"")</f>
      </c>
      <c r="I37" s="100"/>
      <c r="J37" s="101"/>
      <c r="K37" s="100"/>
      <c r="L37" s="101"/>
      <c r="M37" s="100"/>
      <c r="N37" s="101"/>
      <c r="O37" s="99">
        <f>IF(I37&lt;&gt;"",SUM(I37:M37),"")</f>
      </c>
      <c r="P37" s="100"/>
      <c r="Q37" s="101"/>
      <c r="R37" s="100"/>
      <c r="S37" s="101"/>
      <c r="T37" s="100"/>
      <c r="U37" s="101"/>
      <c r="V37" s="99">
        <f>IF(P37&lt;&gt;"",SUM(P37:T37),"")</f>
      </c>
      <c r="W37" s="100"/>
      <c r="X37" s="101"/>
      <c r="Y37" s="100"/>
      <c r="Z37" s="101"/>
      <c r="AA37" s="100"/>
      <c r="AB37" s="101"/>
      <c r="AC37" s="99">
        <f>IF(W37&lt;&gt;"",SUM(W37:AA37),"")</f>
      </c>
      <c r="AD37" s="100"/>
      <c r="AE37" s="101"/>
      <c r="AF37" s="100"/>
      <c r="AG37" s="101"/>
      <c r="AH37" s="100"/>
      <c r="AI37" s="101"/>
      <c r="AJ37" s="99">
        <f>IF(AD37&lt;&gt;"",SUM(AD37:AH37),"")</f>
      </c>
      <c r="AK37" s="100"/>
      <c r="AL37" s="101"/>
      <c r="AM37" s="100"/>
      <c r="AN37" s="101"/>
      <c r="AO37" s="100"/>
      <c r="AP37" s="101"/>
      <c r="AQ37" s="99">
        <f>IF(AK37&lt;&gt;"",SUM(AK37:AO37),"")</f>
      </c>
    </row>
    <row r="38" spans="1:43" ht="12.75">
      <c r="A38" s="76">
        <f>IF(Exam_23=0,"",Exam_23)</f>
        <v>23</v>
      </c>
      <c r="B38" s="100"/>
      <c r="C38" s="101"/>
      <c r="D38" s="100"/>
      <c r="E38" s="101"/>
      <c r="F38" s="100"/>
      <c r="G38" s="101"/>
      <c r="H38" s="99">
        <f>IF(B38&lt;&gt;"",SUM(B38:F38),"")</f>
      </c>
      <c r="I38" s="100"/>
      <c r="J38" s="101"/>
      <c r="K38" s="100"/>
      <c r="L38" s="101"/>
      <c r="M38" s="100"/>
      <c r="N38" s="101"/>
      <c r="O38" s="99">
        <f>IF(I38&lt;&gt;"",SUM(I38:M38),"")</f>
      </c>
      <c r="P38" s="100"/>
      <c r="Q38" s="101"/>
      <c r="R38" s="100"/>
      <c r="S38" s="101"/>
      <c r="T38" s="100"/>
      <c r="U38" s="101"/>
      <c r="V38" s="99">
        <f>IF(P38&lt;&gt;"",SUM(P38:T38),"")</f>
      </c>
      <c r="W38" s="100"/>
      <c r="X38" s="101"/>
      <c r="Y38" s="100"/>
      <c r="Z38" s="101"/>
      <c r="AA38" s="100"/>
      <c r="AB38" s="101"/>
      <c r="AC38" s="99">
        <f>IF(W38&lt;&gt;"",SUM(W38:AA38),"")</f>
      </c>
      <c r="AD38" s="100"/>
      <c r="AE38" s="101"/>
      <c r="AF38" s="100"/>
      <c r="AG38" s="101"/>
      <c r="AH38" s="100"/>
      <c r="AI38" s="101"/>
      <c r="AJ38" s="99">
        <f>IF(AD38&lt;&gt;"",SUM(AD38:AH38),"")</f>
      </c>
      <c r="AK38" s="100"/>
      <c r="AL38" s="101"/>
      <c r="AM38" s="100"/>
      <c r="AN38" s="101"/>
      <c r="AO38" s="100"/>
      <c r="AP38" s="101"/>
      <c r="AQ38" s="99">
        <f>IF(AK38&lt;&gt;"",SUM(AK38:AO38),"")</f>
      </c>
    </row>
    <row r="39" spans="1:43" ht="12.75">
      <c r="A39" s="76">
        <f>IF(Exam_24=0,"",Exam_24)</f>
        <v>24</v>
      </c>
      <c r="B39" s="100"/>
      <c r="C39" s="101"/>
      <c r="D39" s="100"/>
      <c r="E39" s="101"/>
      <c r="F39" s="100"/>
      <c r="G39" s="101"/>
      <c r="H39" s="99">
        <f>IF(B39&lt;&gt;"",SUM(B39:F39),"")</f>
      </c>
      <c r="I39" s="100"/>
      <c r="J39" s="101"/>
      <c r="K39" s="100"/>
      <c r="L39" s="101"/>
      <c r="M39" s="100"/>
      <c r="N39" s="101"/>
      <c r="O39" s="99">
        <f>IF(I39&lt;&gt;"",SUM(I39:M39),"")</f>
      </c>
      <c r="P39" s="100"/>
      <c r="Q39" s="101"/>
      <c r="R39" s="100"/>
      <c r="S39" s="101"/>
      <c r="T39" s="100"/>
      <c r="U39" s="101"/>
      <c r="V39" s="99">
        <f>IF(P39&lt;&gt;"",SUM(P39:T39),"")</f>
      </c>
      <c r="W39" s="100"/>
      <c r="X39" s="101"/>
      <c r="Y39" s="100"/>
      <c r="Z39" s="101"/>
      <c r="AA39" s="100"/>
      <c r="AB39" s="101"/>
      <c r="AC39" s="99">
        <f>IF(W39&lt;&gt;"",SUM(W39:AA39),"")</f>
      </c>
      <c r="AD39" s="100"/>
      <c r="AE39" s="101"/>
      <c r="AF39" s="100"/>
      <c r="AG39" s="101"/>
      <c r="AH39" s="100"/>
      <c r="AI39" s="101"/>
      <c r="AJ39" s="99">
        <f>IF(AD39&lt;&gt;"",SUM(AD39:AH39),"")</f>
      </c>
      <c r="AK39" s="100"/>
      <c r="AL39" s="101"/>
      <c r="AM39" s="100"/>
      <c r="AN39" s="101"/>
      <c r="AO39" s="100"/>
      <c r="AP39" s="101"/>
      <c r="AQ39" s="99">
        <f>IF(AK39&lt;&gt;"",SUM(AK39:AO39),"")</f>
      </c>
    </row>
  </sheetData>
  <sheetProtection/>
  <mergeCells count="48">
    <mergeCell ref="F6:F10"/>
    <mergeCell ref="G6:G10"/>
    <mergeCell ref="M6:M10"/>
    <mergeCell ref="W5:AB5"/>
    <mergeCell ref="Y6:Y10"/>
    <mergeCell ref="T6:T10"/>
    <mergeCell ref="U6:U10"/>
    <mergeCell ref="V6:V10"/>
    <mergeCell ref="P6:P10"/>
    <mergeCell ref="S6:S10"/>
    <mergeCell ref="B5:G5"/>
    <mergeCell ref="I5:N5"/>
    <mergeCell ref="P5:U5"/>
    <mergeCell ref="K6:K10"/>
    <mergeCell ref="L6:L10"/>
    <mergeCell ref="J6:J10"/>
    <mergeCell ref="B6:B10"/>
    <mergeCell ref="C6:C10"/>
    <mergeCell ref="D6:D10"/>
    <mergeCell ref="E6:E10"/>
    <mergeCell ref="W6:W10"/>
    <mergeCell ref="X6:X10"/>
    <mergeCell ref="Q6:Q10"/>
    <mergeCell ref="R6:R10"/>
    <mergeCell ref="H6:H10"/>
    <mergeCell ref="I6:I10"/>
    <mergeCell ref="N6:N10"/>
    <mergeCell ref="O6:O10"/>
    <mergeCell ref="AJ6:AJ10"/>
    <mergeCell ref="AK6:AK10"/>
    <mergeCell ref="Z6:Z10"/>
    <mergeCell ref="AA6:AA10"/>
    <mergeCell ref="AB6:AB10"/>
    <mergeCell ref="AC6:AC10"/>
    <mergeCell ref="AI6:AI10"/>
    <mergeCell ref="AH6:AH10"/>
    <mergeCell ref="AF6:AF10"/>
    <mergeCell ref="AG6:AG10"/>
    <mergeCell ref="AP6:AP10"/>
    <mergeCell ref="AQ6:AQ10"/>
    <mergeCell ref="AD5:AI5"/>
    <mergeCell ref="AK5:AP5"/>
    <mergeCell ref="AL6:AL10"/>
    <mergeCell ref="AM6:AM10"/>
    <mergeCell ref="AN6:AN10"/>
    <mergeCell ref="AO6:AO10"/>
    <mergeCell ref="AD6:AD10"/>
    <mergeCell ref="AE6:AE10"/>
  </mergeCells>
  <conditionalFormatting sqref="H11:H35">
    <cfRule type="expression" priority="7" dxfId="726" stopIfTrue="1">
      <formula>H11-G11&lt;&gt;0</formula>
    </cfRule>
  </conditionalFormatting>
  <conditionalFormatting sqref="O11:O35">
    <cfRule type="expression" priority="6" dxfId="726" stopIfTrue="1">
      <formula>O11-N11&lt;&gt;0</formula>
    </cfRule>
  </conditionalFormatting>
  <conditionalFormatting sqref="V11:V35">
    <cfRule type="expression" priority="5" dxfId="726" stopIfTrue="1">
      <formula>V11-U11&lt;&gt;0</formula>
    </cfRule>
  </conditionalFormatting>
  <conditionalFormatting sqref="AC11:AC35">
    <cfRule type="expression" priority="4" dxfId="726" stopIfTrue="1">
      <formula>AC11-AB11&lt;&gt;0</formula>
    </cfRule>
  </conditionalFormatting>
  <conditionalFormatting sqref="AJ11:AJ35">
    <cfRule type="expression" priority="3" dxfId="726" stopIfTrue="1">
      <formula>AJ11-AI11&lt;&gt;0</formula>
    </cfRule>
  </conditionalFormatting>
  <conditionalFormatting sqref="AQ15:AQ35">
    <cfRule type="expression" priority="2" dxfId="726" stopIfTrue="1">
      <formula>AQ15-AP15&lt;&gt;0</formula>
    </cfRule>
  </conditionalFormatting>
  <conditionalFormatting sqref="AQ11:AQ13">
    <cfRule type="expression" priority="1" dxfId="726" stopIfTrue="1">
      <formula>AQ11-AP11&lt;&gt;0</formula>
    </cfRule>
  </conditionalFormatting>
  <printOptions/>
  <pageMargins left="0.5" right="0.5" top="0.5" bottom="0.5" header="0" footer="0"/>
  <pageSetup fitToHeight="1" fitToWidth="1" horizontalDpi="600" verticalDpi="600" orientation="landscape" scale="69"/>
  <headerFooter alignWithMargins="0">
    <oddFooter>&amp;Lrevised 5/7/2012
</oddFooter>
  </headerFooter>
</worksheet>
</file>

<file path=xl/worksheets/sheet4.xml><?xml version="1.0" encoding="utf-8"?>
<worksheet xmlns="http://schemas.openxmlformats.org/spreadsheetml/2006/main" xmlns:r="http://schemas.openxmlformats.org/officeDocument/2006/relationships">
  <dimension ref="A1:AE28"/>
  <sheetViews>
    <sheetView zoomScalePageLayoutView="0" workbookViewId="0" topLeftCell="D1">
      <selection activeCell="V37" sqref="V37"/>
    </sheetView>
  </sheetViews>
  <sheetFormatPr defaultColWidth="10.75390625" defaultRowHeight="12.75"/>
  <cols>
    <col min="1" max="1" width="10.75390625" style="3" customWidth="1"/>
    <col min="2" max="5" width="5.50390625" style="3" bestFit="1" customWidth="1"/>
    <col min="6" max="7" width="4.625" style="3" customWidth="1"/>
    <col min="8" max="11" width="5.50390625" style="3" bestFit="1" customWidth="1"/>
    <col min="12" max="13" width="4.625" style="3" customWidth="1"/>
    <col min="14" max="17" width="5.50390625" style="3" bestFit="1" customWidth="1"/>
    <col min="18" max="19" width="4.625" style="3" customWidth="1"/>
    <col min="20" max="23" width="5.50390625" style="3" bestFit="1" customWidth="1"/>
    <col min="24" max="25" width="4.625" style="3" customWidth="1"/>
    <col min="26" max="29" width="4.625" style="3" bestFit="1" customWidth="1"/>
    <col min="30" max="30" width="6.125" style="3" bestFit="1" customWidth="1"/>
    <col min="31" max="31" width="7.75390625" style="3" customWidth="1"/>
    <col min="32" max="16384" width="10.75390625" style="3" customWidth="1"/>
  </cols>
  <sheetData>
    <row r="1" spans="1:4" ht="12.75">
      <c r="A1" s="2"/>
      <c r="B1" s="2"/>
      <c r="C1" s="2"/>
      <c r="D1" s="2"/>
    </row>
    <row r="2" spans="2:29" ht="12.75">
      <c r="B2" s="182" t="s">
        <v>13</v>
      </c>
      <c r="C2" s="182"/>
      <c r="D2" s="182"/>
      <c r="E2" s="182"/>
      <c r="F2" s="182"/>
      <c r="G2" s="182"/>
      <c r="H2" s="182"/>
      <c r="I2" s="182"/>
      <c r="J2" s="182"/>
      <c r="K2" s="182"/>
      <c r="L2" s="182"/>
      <c r="M2" s="182"/>
      <c r="N2" s="182"/>
      <c r="O2" s="182"/>
      <c r="P2" s="182"/>
      <c r="Q2" s="182"/>
      <c r="R2" s="182"/>
      <c r="S2" s="182"/>
      <c r="T2" s="182"/>
      <c r="U2" s="182"/>
      <c r="V2" s="182"/>
      <c r="W2" s="182"/>
      <c r="X2" s="110"/>
      <c r="Y2" s="110"/>
      <c r="Z2" s="181" t="s">
        <v>14</v>
      </c>
      <c r="AA2" s="181"/>
      <c r="AB2" s="181"/>
      <c r="AC2" s="181"/>
    </row>
    <row r="3" spans="1:31" s="2" customFormat="1" ht="12.75">
      <c r="A3" s="111" t="s">
        <v>18</v>
      </c>
      <c r="B3" s="198" t="str">
        <f>BeerName1</f>
        <v>Style1</v>
      </c>
      <c r="C3" s="199"/>
      <c r="D3" s="199"/>
      <c r="E3" s="200"/>
      <c r="F3" s="195" t="str">
        <f>BeerName2</f>
        <v>Style2</v>
      </c>
      <c r="G3" s="196"/>
      <c r="H3" s="196"/>
      <c r="I3" s="197"/>
      <c r="J3" s="192" t="str">
        <f>BeerName3</f>
        <v>Style3</v>
      </c>
      <c r="K3" s="193"/>
      <c r="L3" s="193"/>
      <c r="M3" s="194"/>
      <c r="N3" s="189" t="str">
        <f>BeerName4</f>
        <v>Style4</v>
      </c>
      <c r="O3" s="190"/>
      <c r="P3" s="190"/>
      <c r="Q3" s="191"/>
      <c r="R3" s="186" t="str">
        <f>BeerName5</f>
        <v>Style5</v>
      </c>
      <c r="S3" s="187"/>
      <c r="T3" s="187"/>
      <c r="U3" s="188"/>
      <c r="V3" s="183" t="str">
        <f>BeerName6</f>
        <v>Style6</v>
      </c>
      <c r="W3" s="184"/>
      <c r="X3" s="184"/>
      <c r="Y3" s="185"/>
      <c r="Z3" s="178" t="s">
        <v>12</v>
      </c>
      <c r="AA3" s="179"/>
      <c r="AB3" s="179"/>
      <c r="AC3" s="180"/>
      <c r="AD3" s="112" t="s">
        <v>6</v>
      </c>
      <c r="AE3" s="148" t="s">
        <v>39</v>
      </c>
    </row>
    <row r="4" spans="1:31" ht="12.75">
      <c r="A4" s="114"/>
      <c r="B4" s="149" t="s">
        <v>8</v>
      </c>
      <c r="C4" s="149" t="s">
        <v>9</v>
      </c>
      <c r="D4" s="149" t="s">
        <v>10</v>
      </c>
      <c r="E4" s="149" t="s">
        <v>11</v>
      </c>
      <c r="F4" s="151" t="s">
        <v>8</v>
      </c>
      <c r="G4" s="151" t="s">
        <v>9</v>
      </c>
      <c r="H4" s="151" t="s">
        <v>10</v>
      </c>
      <c r="I4" s="151" t="s">
        <v>11</v>
      </c>
      <c r="J4" s="153" t="s">
        <v>8</v>
      </c>
      <c r="K4" s="153" t="s">
        <v>9</v>
      </c>
      <c r="L4" s="153" t="s">
        <v>10</v>
      </c>
      <c r="M4" s="153" t="s">
        <v>11</v>
      </c>
      <c r="N4" s="155" t="s">
        <v>8</v>
      </c>
      <c r="O4" s="155" t="s">
        <v>9</v>
      </c>
      <c r="P4" s="155" t="s">
        <v>10</v>
      </c>
      <c r="Q4" s="155" t="s">
        <v>11</v>
      </c>
      <c r="R4" s="157" t="s">
        <v>8</v>
      </c>
      <c r="S4" s="157" t="s">
        <v>9</v>
      </c>
      <c r="T4" s="157" t="s">
        <v>10</v>
      </c>
      <c r="U4" s="157" t="s">
        <v>11</v>
      </c>
      <c r="V4" s="159" t="s">
        <v>8</v>
      </c>
      <c r="W4" s="159" t="s">
        <v>9</v>
      </c>
      <c r="X4" s="159" t="s">
        <v>10</v>
      </c>
      <c r="Y4" s="159" t="s">
        <v>11</v>
      </c>
      <c r="Z4" s="117" t="s">
        <v>8</v>
      </c>
      <c r="AA4" s="117" t="s">
        <v>9</v>
      </c>
      <c r="AB4" s="117" t="s">
        <v>10</v>
      </c>
      <c r="AC4" s="117" t="s">
        <v>11</v>
      </c>
      <c r="AD4" s="118">
        <v>80</v>
      </c>
      <c r="AE4" s="148">
        <v>100</v>
      </c>
    </row>
    <row r="5" spans="1:31" ht="12.75">
      <c r="A5" s="76">
        <f>IF(Exam_01=0,"",Exam_01)</f>
        <v>1</v>
      </c>
      <c r="B5" s="150"/>
      <c r="C5" s="150"/>
      <c r="D5" s="150"/>
      <c r="E5" s="150"/>
      <c r="F5" s="152"/>
      <c r="G5" s="152"/>
      <c r="H5" s="152"/>
      <c r="I5" s="152"/>
      <c r="J5" s="154"/>
      <c r="K5" s="154"/>
      <c r="L5" s="154"/>
      <c r="M5" s="154"/>
      <c r="N5" s="156"/>
      <c r="O5" s="156"/>
      <c r="P5" s="156"/>
      <c r="Q5" s="156"/>
      <c r="R5" s="158"/>
      <c r="S5" s="158"/>
      <c r="T5" s="158"/>
      <c r="U5" s="158"/>
      <c r="V5" s="160"/>
      <c r="W5" s="160"/>
      <c r="X5" s="160"/>
      <c r="Y5" s="160"/>
      <c r="Z5" s="79">
        <f aca="true" t="shared" si="0" ref="Z5:AC8">IF(V5&lt;&gt;"",AVERAGE(B5,F5,J5,N5,R5,V5),"")</f>
      </c>
      <c r="AA5" s="79">
        <f t="shared" si="0"/>
      </c>
      <c r="AB5" s="79">
        <f t="shared" si="0"/>
      </c>
      <c r="AC5" s="79">
        <f t="shared" si="0"/>
      </c>
      <c r="AD5" s="123">
        <f>IF(AC5&lt;&gt;"",SUM(Z5:AC5),"")</f>
      </c>
      <c r="AE5" s="41">
        <f>IF(AD5&lt;&gt;"",'Scoring Accuracy'!H9/6+AD5,"")</f>
      </c>
    </row>
    <row r="6" spans="1:31" ht="12.75">
      <c r="A6" s="76">
        <f>IF(Exam_02=0,"",Exam_02)</f>
        <v>2</v>
      </c>
      <c r="B6" s="150"/>
      <c r="C6" s="150"/>
      <c r="D6" s="150"/>
      <c r="E6" s="150"/>
      <c r="F6" s="152"/>
      <c r="G6" s="152"/>
      <c r="H6" s="152"/>
      <c r="I6" s="152"/>
      <c r="J6" s="154"/>
      <c r="K6" s="154"/>
      <c r="L6" s="154"/>
      <c r="M6" s="154"/>
      <c r="N6" s="156"/>
      <c r="O6" s="156"/>
      <c r="P6" s="156"/>
      <c r="Q6" s="156"/>
      <c r="R6" s="158"/>
      <c r="S6" s="158"/>
      <c r="T6" s="158"/>
      <c r="U6" s="158"/>
      <c r="V6" s="160"/>
      <c r="W6" s="160"/>
      <c r="X6" s="160"/>
      <c r="Y6" s="160"/>
      <c r="Z6" s="79">
        <f t="shared" si="0"/>
      </c>
      <c r="AA6" s="79">
        <f t="shared" si="0"/>
      </c>
      <c r="AB6" s="79">
        <f t="shared" si="0"/>
      </c>
      <c r="AC6" s="79">
        <f t="shared" si="0"/>
      </c>
      <c r="AD6" s="123">
        <f aca="true" t="shared" si="1" ref="AD6:AD28">IF(AC6&lt;&gt;"",SUM(Z6:AC6),"")</f>
      </c>
      <c r="AE6" s="41">
        <f>IF(AD6&lt;&gt;"",'Scoring Accuracy'!H10/6+AD6,"")</f>
      </c>
    </row>
    <row r="7" spans="1:31" ht="12.75">
      <c r="A7" s="76">
        <f>IF(Exam_03=0,"",Exam_03)</f>
        <v>3</v>
      </c>
      <c r="B7" s="150"/>
      <c r="C7" s="150"/>
      <c r="D7" s="150"/>
      <c r="E7" s="150"/>
      <c r="F7" s="152"/>
      <c r="G7" s="152"/>
      <c r="H7" s="152"/>
      <c r="I7" s="152"/>
      <c r="J7" s="154"/>
      <c r="K7" s="154"/>
      <c r="L7" s="154"/>
      <c r="M7" s="154"/>
      <c r="N7" s="156"/>
      <c r="O7" s="156"/>
      <c r="P7" s="156"/>
      <c r="Q7" s="156"/>
      <c r="R7" s="158"/>
      <c r="S7" s="158"/>
      <c r="T7" s="158"/>
      <c r="U7" s="158"/>
      <c r="V7" s="160"/>
      <c r="W7" s="160"/>
      <c r="X7" s="160"/>
      <c r="Y7" s="160"/>
      <c r="Z7" s="79">
        <f t="shared" si="0"/>
      </c>
      <c r="AA7" s="79">
        <f t="shared" si="0"/>
      </c>
      <c r="AB7" s="79">
        <f t="shared" si="0"/>
      </c>
      <c r="AC7" s="79">
        <f t="shared" si="0"/>
      </c>
      <c r="AD7" s="123">
        <f t="shared" si="1"/>
      </c>
      <c r="AE7" s="41">
        <f>IF(AD7&lt;&gt;"",'Scoring Accuracy'!H11/6+AD7,"")</f>
      </c>
    </row>
    <row r="8" spans="1:31" ht="12.75">
      <c r="A8" s="76">
        <f>IF(Exam_04=0,"",Exam_04)</f>
        <v>4</v>
      </c>
      <c r="B8" s="150"/>
      <c r="C8" s="150"/>
      <c r="D8" s="150"/>
      <c r="E8" s="150"/>
      <c r="F8" s="152"/>
      <c r="G8" s="152"/>
      <c r="H8" s="152"/>
      <c r="I8" s="152"/>
      <c r="J8" s="154"/>
      <c r="K8" s="154"/>
      <c r="L8" s="154"/>
      <c r="M8" s="154"/>
      <c r="N8" s="156"/>
      <c r="O8" s="156"/>
      <c r="P8" s="156"/>
      <c r="Q8" s="156"/>
      <c r="R8" s="158"/>
      <c r="S8" s="158"/>
      <c r="T8" s="158"/>
      <c r="U8" s="158"/>
      <c r="V8" s="160"/>
      <c r="W8" s="160"/>
      <c r="X8" s="160"/>
      <c r="Y8" s="160"/>
      <c r="Z8" s="79">
        <f t="shared" si="0"/>
      </c>
      <c r="AA8" s="79">
        <f t="shared" si="0"/>
      </c>
      <c r="AB8" s="79">
        <f t="shared" si="0"/>
      </c>
      <c r="AC8" s="79">
        <f t="shared" si="0"/>
      </c>
      <c r="AD8" s="123">
        <f t="shared" si="1"/>
      </c>
      <c r="AE8" s="41">
        <f>IF(AD8&lt;&gt;"",'Scoring Accuracy'!H12/6+AD8,"")</f>
      </c>
    </row>
    <row r="9" spans="1:31" ht="12.75">
      <c r="A9" s="76">
        <f>IF(Exam_05=0,"",Exam_05)</f>
        <v>5</v>
      </c>
      <c r="B9" s="150"/>
      <c r="C9" s="150"/>
      <c r="D9" s="150"/>
      <c r="E9" s="150"/>
      <c r="F9" s="152"/>
      <c r="G9" s="152"/>
      <c r="H9" s="152"/>
      <c r="I9" s="152"/>
      <c r="J9" s="154"/>
      <c r="K9" s="154"/>
      <c r="L9" s="154"/>
      <c r="M9" s="154"/>
      <c r="N9" s="156"/>
      <c r="O9" s="156"/>
      <c r="P9" s="156"/>
      <c r="Q9" s="156"/>
      <c r="R9" s="158"/>
      <c r="S9" s="158"/>
      <c r="T9" s="158"/>
      <c r="U9" s="158"/>
      <c r="V9" s="160"/>
      <c r="W9" s="160"/>
      <c r="X9" s="160"/>
      <c r="Y9" s="160"/>
      <c r="Z9" s="79">
        <f aca="true" t="shared" si="2" ref="Z9:AC16">IF(V9&lt;&gt;"",AVERAGE(B9,F9,J9,N9,R9,V9),"")</f>
      </c>
      <c r="AA9" s="79">
        <f t="shared" si="2"/>
      </c>
      <c r="AB9" s="79">
        <f t="shared" si="2"/>
      </c>
      <c r="AC9" s="79">
        <f t="shared" si="2"/>
      </c>
      <c r="AD9" s="123">
        <f t="shared" si="1"/>
      </c>
      <c r="AE9" s="41">
        <f>IF(AD9&lt;&gt;"",'Scoring Accuracy'!H13/6+AD9,"")</f>
      </c>
    </row>
    <row r="10" spans="1:31" ht="12.75">
      <c r="A10" s="76">
        <f>IF(Exam_06=0,"",Exam_06)</f>
        <v>6</v>
      </c>
      <c r="B10" s="150"/>
      <c r="C10" s="150"/>
      <c r="D10" s="150"/>
      <c r="E10" s="150"/>
      <c r="F10" s="152"/>
      <c r="G10" s="152"/>
      <c r="H10" s="152"/>
      <c r="I10" s="152"/>
      <c r="J10" s="154"/>
      <c r="K10" s="154"/>
      <c r="L10" s="154"/>
      <c r="M10" s="154"/>
      <c r="N10" s="156"/>
      <c r="O10" s="156"/>
      <c r="P10" s="156"/>
      <c r="Q10" s="156"/>
      <c r="R10" s="158"/>
      <c r="S10" s="158"/>
      <c r="T10" s="158"/>
      <c r="U10" s="158"/>
      <c r="V10" s="160"/>
      <c r="W10" s="160"/>
      <c r="X10" s="160"/>
      <c r="Y10" s="160"/>
      <c r="Z10" s="79">
        <f t="shared" si="2"/>
      </c>
      <c r="AA10" s="79">
        <f t="shared" si="2"/>
      </c>
      <c r="AB10" s="79">
        <f t="shared" si="2"/>
      </c>
      <c r="AC10" s="79">
        <f t="shared" si="2"/>
      </c>
      <c r="AD10" s="123">
        <f t="shared" si="1"/>
      </c>
      <c r="AE10" s="41">
        <f>IF(AD10&lt;&gt;"",'Scoring Accuracy'!H14/6+AD10,"")</f>
      </c>
    </row>
    <row r="11" spans="1:31" ht="12.75">
      <c r="A11" s="76">
        <f>IF(Exam_07=0,"",Exam_07)</f>
        <v>7</v>
      </c>
      <c r="B11" s="150"/>
      <c r="C11" s="150"/>
      <c r="D11" s="150"/>
      <c r="E11" s="150"/>
      <c r="F11" s="152"/>
      <c r="G11" s="152"/>
      <c r="H11" s="152"/>
      <c r="I11" s="152"/>
      <c r="J11" s="154"/>
      <c r="K11" s="154"/>
      <c r="L11" s="154"/>
      <c r="M11" s="154"/>
      <c r="N11" s="156"/>
      <c r="O11" s="156"/>
      <c r="P11" s="156"/>
      <c r="Q11" s="156"/>
      <c r="R11" s="158"/>
      <c r="S11" s="158"/>
      <c r="T11" s="158"/>
      <c r="U11" s="158"/>
      <c r="V11" s="160"/>
      <c r="W11" s="160"/>
      <c r="X11" s="160"/>
      <c r="Y11" s="160"/>
      <c r="Z11" s="79">
        <f t="shared" si="2"/>
      </c>
      <c r="AA11" s="79">
        <f>IF(W11&lt;&gt;"",AVERAGE(C11,G11,K11,O11,S11,W11),"")</f>
      </c>
      <c r="AB11" s="79">
        <f t="shared" si="2"/>
      </c>
      <c r="AC11" s="79">
        <f t="shared" si="2"/>
      </c>
      <c r="AD11" s="123">
        <f t="shared" si="1"/>
      </c>
      <c r="AE11" s="41">
        <f>IF(AD11&lt;&gt;"",'Scoring Accuracy'!H15/6+AD11,"")</f>
      </c>
    </row>
    <row r="12" spans="1:31" ht="12.75">
      <c r="A12" s="76">
        <f>IF(Exam_08=0,"",Exam_08)</f>
        <v>8</v>
      </c>
      <c r="B12" s="150"/>
      <c r="C12" s="150"/>
      <c r="D12" s="150"/>
      <c r="E12" s="150"/>
      <c r="F12" s="152"/>
      <c r="G12" s="152"/>
      <c r="H12" s="152"/>
      <c r="I12" s="152"/>
      <c r="J12" s="154"/>
      <c r="K12" s="154"/>
      <c r="L12" s="154"/>
      <c r="M12" s="154"/>
      <c r="N12" s="156"/>
      <c r="O12" s="156"/>
      <c r="P12" s="156"/>
      <c r="Q12" s="156"/>
      <c r="R12" s="158"/>
      <c r="S12" s="158"/>
      <c r="T12" s="158"/>
      <c r="U12" s="158"/>
      <c r="V12" s="160"/>
      <c r="W12" s="160"/>
      <c r="X12" s="160"/>
      <c r="Y12" s="160"/>
      <c r="Z12" s="79">
        <f t="shared" si="2"/>
      </c>
      <c r="AA12" s="79">
        <f t="shared" si="2"/>
      </c>
      <c r="AB12" s="79">
        <f t="shared" si="2"/>
      </c>
      <c r="AC12" s="79">
        <f t="shared" si="2"/>
      </c>
      <c r="AD12" s="123">
        <f t="shared" si="1"/>
      </c>
      <c r="AE12" s="41">
        <f>IF(AD12&lt;&gt;"",'Scoring Accuracy'!H16/6+AD12,"")</f>
      </c>
    </row>
    <row r="13" spans="1:31" ht="12.75">
      <c r="A13" s="76">
        <f>IF(Exam_09=0,"",Exam_09)</f>
        <v>9</v>
      </c>
      <c r="B13" s="150"/>
      <c r="C13" s="150"/>
      <c r="D13" s="150"/>
      <c r="E13" s="150"/>
      <c r="F13" s="152"/>
      <c r="G13" s="152"/>
      <c r="H13" s="152"/>
      <c r="I13" s="152"/>
      <c r="J13" s="154"/>
      <c r="K13" s="154"/>
      <c r="L13" s="154"/>
      <c r="M13" s="154"/>
      <c r="N13" s="156"/>
      <c r="O13" s="156"/>
      <c r="P13" s="156"/>
      <c r="Q13" s="156"/>
      <c r="R13" s="158"/>
      <c r="S13" s="158"/>
      <c r="T13" s="158"/>
      <c r="U13" s="158"/>
      <c r="V13" s="160"/>
      <c r="W13" s="160"/>
      <c r="X13" s="160"/>
      <c r="Y13" s="160"/>
      <c r="Z13" s="79">
        <f t="shared" si="2"/>
      </c>
      <c r="AA13" s="79">
        <f t="shared" si="2"/>
      </c>
      <c r="AB13" s="79">
        <f t="shared" si="2"/>
      </c>
      <c r="AC13" s="79">
        <f t="shared" si="2"/>
      </c>
      <c r="AD13" s="123">
        <f t="shared" si="1"/>
      </c>
      <c r="AE13" s="41">
        <f>IF(AD13&lt;&gt;"",'Scoring Accuracy'!H17/6+AD13,"")</f>
      </c>
    </row>
    <row r="14" spans="1:31" ht="12.75">
      <c r="A14" s="76">
        <f>IF(Exam_10=0,"",Exam_10)</f>
        <v>10</v>
      </c>
      <c r="B14" s="150"/>
      <c r="C14" s="150"/>
      <c r="D14" s="150"/>
      <c r="E14" s="150"/>
      <c r="F14" s="152"/>
      <c r="G14" s="152"/>
      <c r="H14" s="152"/>
      <c r="I14" s="152"/>
      <c r="J14" s="154"/>
      <c r="K14" s="154"/>
      <c r="L14" s="154"/>
      <c r="M14" s="154"/>
      <c r="N14" s="156"/>
      <c r="O14" s="156"/>
      <c r="P14" s="156"/>
      <c r="Q14" s="156"/>
      <c r="R14" s="158"/>
      <c r="S14" s="158"/>
      <c r="T14" s="158"/>
      <c r="U14" s="158"/>
      <c r="V14" s="160"/>
      <c r="W14" s="160"/>
      <c r="X14" s="160"/>
      <c r="Y14" s="160"/>
      <c r="Z14" s="79">
        <f t="shared" si="2"/>
      </c>
      <c r="AA14" s="79">
        <f t="shared" si="2"/>
      </c>
      <c r="AB14" s="79">
        <f t="shared" si="2"/>
      </c>
      <c r="AC14" s="79">
        <f t="shared" si="2"/>
      </c>
      <c r="AD14" s="123">
        <f t="shared" si="1"/>
      </c>
      <c r="AE14" s="41">
        <f>IF(AD14&lt;&gt;"",'Scoring Accuracy'!H18/6+AD14,"")</f>
      </c>
    </row>
    <row r="15" spans="1:31" ht="12.75">
      <c r="A15" s="76">
        <f>IF(Exam_11=0,"",Exam_11)</f>
        <v>11</v>
      </c>
      <c r="B15" s="150"/>
      <c r="C15" s="150"/>
      <c r="D15" s="150"/>
      <c r="E15" s="150"/>
      <c r="F15" s="152"/>
      <c r="G15" s="152"/>
      <c r="H15" s="152"/>
      <c r="I15" s="152"/>
      <c r="J15" s="154"/>
      <c r="K15" s="154"/>
      <c r="L15" s="154"/>
      <c r="M15" s="154"/>
      <c r="N15" s="156"/>
      <c r="O15" s="156"/>
      <c r="P15" s="156"/>
      <c r="Q15" s="156"/>
      <c r="R15" s="158"/>
      <c r="S15" s="158"/>
      <c r="T15" s="158"/>
      <c r="U15" s="158"/>
      <c r="V15" s="160"/>
      <c r="W15" s="160"/>
      <c r="X15" s="160"/>
      <c r="Y15" s="160"/>
      <c r="Z15" s="79">
        <f t="shared" si="2"/>
      </c>
      <c r="AA15" s="79">
        <f t="shared" si="2"/>
      </c>
      <c r="AB15" s="79">
        <f t="shared" si="2"/>
      </c>
      <c r="AC15" s="79">
        <f t="shared" si="2"/>
      </c>
      <c r="AD15" s="123">
        <f t="shared" si="1"/>
      </c>
      <c r="AE15" s="41">
        <f>IF(AD15&lt;&gt;"",'Scoring Accuracy'!H19/6+AD15,"")</f>
      </c>
    </row>
    <row r="16" spans="1:31" ht="12.75">
      <c r="A16" s="76">
        <f>IF(Exam_12=0,"",Exam_12)</f>
        <v>12</v>
      </c>
      <c r="B16" s="150"/>
      <c r="C16" s="150"/>
      <c r="D16" s="150"/>
      <c r="E16" s="150"/>
      <c r="F16" s="152"/>
      <c r="G16" s="152"/>
      <c r="H16" s="152"/>
      <c r="I16" s="152"/>
      <c r="J16" s="154"/>
      <c r="K16" s="154"/>
      <c r="L16" s="154"/>
      <c r="M16" s="154"/>
      <c r="N16" s="156"/>
      <c r="O16" s="156"/>
      <c r="P16" s="156"/>
      <c r="Q16" s="156"/>
      <c r="R16" s="158"/>
      <c r="S16" s="158"/>
      <c r="T16" s="158"/>
      <c r="U16" s="158"/>
      <c r="V16" s="160"/>
      <c r="W16" s="160"/>
      <c r="X16" s="160"/>
      <c r="Y16" s="160"/>
      <c r="Z16" s="79">
        <f t="shared" si="2"/>
      </c>
      <c r="AA16" s="79">
        <f t="shared" si="2"/>
      </c>
      <c r="AB16" s="79">
        <f t="shared" si="2"/>
      </c>
      <c r="AC16" s="79">
        <f t="shared" si="2"/>
      </c>
      <c r="AD16" s="123">
        <f t="shared" si="1"/>
      </c>
      <c r="AE16" s="41">
        <f>IF(AD16&lt;&gt;"",'Scoring Accuracy'!H20/6+AD16,"")</f>
      </c>
    </row>
    <row r="17" spans="1:31" ht="12.75">
      <c r="A17" s="76">
        <f>IF(Exam_13=0,"",Exam_13)</f>
        <v>13</v>
      </c>
      <c r="B17" s="150"/>
      <c r="C17" s="150"/>
      <c r="D17" s="150"/>
      <c r="E17" s="150"/>
      <c r="F17" s="152"/>
      <c r="G17" s="152"/>
      <c r="H17" s="152"/>
      <c r="I17" s="152"/>
      <c r="J17" s="154"/>
      <c r="K17" s="154"/>
      <c r="L17" s="154"/>
      <c r="M17" s="154"/>
      <c r="N17" s="156"/>
      <c r="O17" s="156"/>
      <c r="P17" s="156"/>
      <c r="Q17" s="156"/>
      <c r="R17" s="158"/>
      <c r="S17" s="158"/>
      <c r="T17" s="158"/>
      <c r="U17" s="158"/>
      <c r="V17" s="160"/>
      <c r="W17" s="160"/>
      <c r="X17" s="160"/>
      <c r="Y17" s="160"/>
      <c r="Z17" s="79"/>
      <c r="AA17" s="79"/>
      <c r="AB17" s="79"/>
      <c r="AC17" s="79"/>
      <c r="AD17" s="123">
        <f t="shared" si="1"/>
      </c>
      <c r="AE17" s="124">
        <f>IF(AD17&lt;&gt;"",'Scoring Accuracy'!H21/6+AD17,"")</f>
      </c>
    </row>
    <row r="18" spans="1:31" ht="12.75">
      <c r="A18" s="76">
        <f>IF(Exam_14=0,"",Exam_14)</f>
        <v>14</v>
      </c>
      <c r="B18" s="150"/>
      <c r="C18" s="150"/>
      <c r="D18" s="150"/>
      <c r="E18" s="150"/>
      <c r="F18" s="152"/>
      <c r="G18" s="152"/>
      <c r="H18" s="152"/>
      <c r="I18" s="152"/>
      <c r="J18" s="154"/>
      <c r="K18" s="154"/>
      <c r="L18" s="154"/>
      <c r="M18" s="154"/>
      <c r="N18" s="156"/>
      <c r="O18" s="156"/>
      <c r="P18" s="156"/>
      <c r="Q18" s="156"/>
      <c r="R18" s="158"/>
      <c r="S18" s="158"/>
      <c r="T18" s="158"/>
      <c r="U18" s="158"/>
      <c r="V18" s="160"/>
      <c r="W18" s="160"/>
      <c r="X18" s="160"/>
      <c r="Y18" s="160"/>
      <c r="Z18" s="79"/>
      <c r="AA18" s="79"/>
      <c r="AB18" s="79"/>
      <c r="AC18" s="79"/>
      <c r="AD18" s="125">
        <f t="shared" si="1"/>
      </c>
      <c r="AE18" s="124">
        <f>IF(AD18&lt;&gt;"",'Scoring Accuracy'!H22/6+AD18,"")</f>
      </c>
    </row>
    <row r="19" spans="1:31" ht="12.75">
      <c r="A19" s="76">
        <f>IF(Exam_15=0,"",Exam_15)</f>
        <v>15</v>
      </c>
      <c r="B19" s="150"/>
      <c r="C19" s="150"/>
      <c r="D19" s="150"/>
      <c r="E19" s="150"/>
      <c r="F19" s="152"/>
      <c r="G19" s="152"/>
      <c r="H19" s="152"/>
      <c r="I19" s="152"/>
      <c r="J19" s="154"/>
      <c r="K19" s="154"/>
      <c r="L19" s="154"/>
      <c r="M19" s="154"/>
      <c r="N19" s="156"/>
      <c r="O19" s="156"/>
      <c r="P19" s="156"/>
      <c r="Q19" s="156"/>
      <c r="R19" s="158"/>
      <c r="S19" s="158"/>
      <c r="T19" s="158"/>
      <c r="U19" s="158"/>
      <c r="V19" s="160"/>
      <c r="W19" s="160"/>
      <c r="X19" s="160"/>
      <c r="Y19" s="160"/>
      <c r="Z19" s="79"/>
      <c r="AA19" s="79"/>
      <c r="AB19" s="79"/>
      <c r="AC19" s="79"/>
      <c r="AD19" s="126">
        <f t="shared" si="1"/>
      </c>
      <c r="AE19" s="124">
        <f>IF(AD19&lt;&gt;"",'Scoring Accuracy'!H23/6+AD19,"")</f>
      </c>
    </row>
    <row r="20" spans="1:31" ht="12.75">
      <c r="A20" s="76">
        <f>IF(Exam_16=0,"",Exam_16)</f>
        <v>16</v>
      </c>
      <c r="B20" s="150"/>
      <c r="C20" s="150"/>
      <c r="D20" s="150"/>
      <c r="E20" s="150"/>
      <c r="F20" s="152"/>
      <c r="G20" s="152"/>
      <c r="H20" s="152"/>
      <c r="I20" s="152"/>
      <c r="J20" s="154"/>
      <c r="K20" s="154"/>
      <c r="L20" s="154"/>
      <c r="M20" s="154"/>
      <c r="N20" s="156"/>
      <c r="O20" s="156"/>
      <c r="P20" s="156"/>
      <c r="Q20" s="156"/>
      <c r="R20" s="158"/>
      <c r="S20" s="158"/>
      <c r="T20" s="158"/>
      <c r="U20" s="158"/>
      <c r="V20" s="160"/>
      <c r="W20" s="160"/>
      <c r="X20" s="160"/>
      <c r="Y20" s="160"/>
      <c r="Z20" s="79"/>
      <c r="AA20" s="79"/>
      <c r="AB20" s="79"/>
      <c r="AC20" s="79"/>
      <c r="AD20" s="126">
        <f t="shared" si="1"/>
      </c>
      <c r="AE20" s="124">
        <f>IF(AD20&lt;&gt;"",'Scoring Accuracy'!H24/6+AD20,"")</f>
      </c>
    </row>
    <row r="21" spans="1:31" ht="12.75">
      <c r="A21" s="76">
        <f>IF(Exam_17=0,"",Exam_17)</f>
        <v>17</v>
      </c>
      <c r="B21" s="150"/>
      <c r="C21" s="150"/>
      <c r="D21" s="150"/>
      <c r="E21" s="150"/>
      <c r="F21" s="152"/>
      <c r="G21" s="152"/>
      <c r="H21" s="152"/>
      <c r="I21" s="152"/>
      <c r="J21" s="154"/>
      <c r="K21" s="154"/>
      <c r="L21" s="154"/>
      <c r="M21" s="154"/>
      <c r="N21" s="156"/>
      <c r="O21" s="156"/>
      <c r="P21" s="156"/>
      <c r="Q21" s="156"/>
      <c r="R21" s="158"/>
      <c r="S21" s="158"/>
      <c r="T21" s="158"/>
      <c r="U21" s="158"/>
      <c r="V21" s="160"/>
      <c r="W21" s="160"/>
      <c r="X21" s="160"/>
      <c r="Y21" s="160"/>
      <c r="Z21" s="79"/>
      <c r="AA21" s="79"/>
      <c r="AB21" s="79"/>
      <c r="AC21" s="79"/>
      <c r="AD21" s="126">
        <f t="shared" si="1"/>
      </c>
      <c r="AE21" s="124">
        <f>IF(AD21&lt;&gt;"",'Scoring Accuracy'!H25/6+AD21,"")</f>
      </c>
    </row>
    <row r="22" spans="1:31" ht="12.75">
      <c r="A22" s="76">
        <f>IF(Exam_18=0,"",Exam_18)</f>
        <v>18</v>
      </c>
      <c r="B22" s="150"/>
      <c r="C22" s="150"/>
      <c r="D22" s="150"/>
      <c r="E22" s="150"/>
      <c r="F22" s="152"/>
      <c r="G22" s="152"/>
      <c r="H22" s="152"/>
      <c r="I22" s="152"/>
      <c r="J22" s="154"/>
      <c r="K22" s="154"/>
      <c r="L22" s="154"/>
      <c r="M22" s="154"/>
      <c r="N22" s="156"/>
      <c r="O22" s="156"/>
      <c r="P22" s="156"/>
      <c r="Q22" s="156"/>
      <c r="R22" s="158"/>
      <c r="S22" s="158"/>
      <c r="T22" s="158"/>
      <c r="U22" s="158"/>
      <c r="V22" s="160"/>
      <c r="W22" s="160"/>
      <c r="X22" s="160"/>
      <c r="Y22" s="160"/>
      <c r="Z22" s="79"/>
      <c r="AA22" s="79"/>
      <c r="AB22" s="79"/>
      <c r="AC22" s="79"/>
      <c r="AD22" s="126">
        <f t="shared" si="1"/>
      </c>
      <c r="AE22" s="124">
        <f>IF(AD22&lt;&gt;"",'Scoring Accuracy'!H26/6+AD22,"")</f>
      </c>
    </row>
    <row r="23" spans="1:31" ht="12.75">
      <c r="A23" s="76">
        <f>IF(Exam_19=0,"",Exam_19)</f>
        <v>19</v>
      </c>
      <c r="B23" s="150"/>
      <c r="C23" s="150"/>
      <c r="D23" s="150"/>
      <c r="E23" s="150"/>
      <c r="F23" s="152"/>
      <c r="G23" s="152"/>
      <c r="H23" s="152"/>
      <c r="I23" s="152"/>
      <c r="J23" s="154"/>
      <c r="K23" s="154"/>
      <c r="L23" s="154"/>
      <c r="M23" s="154"/>
      <c r="N23" s="156"/>
      <c r="O23" s="156"/>
      <c r="P23" s="156"/>
      <c r="Q23" s="156"/>
      <c r="R23" s="158"/>
      <c r="S23" s="158"/>
      <c r="T23" s="158"/>
      <c r="U23" s="158"/>
      <c r="V23" s="160"/>
      <c r="W23" s="160"/>
      <c r="X23" s="160"/>
      <c r="Y23" s="160"/>
      <c r="Z23" s="79"/>
      <c r="AA23" s="79"/>
      <c r="AB23" s="79"/>
      <c r="AC23" s="79"/>
      <c r="AD23" s="126">
        <f t="shared" si="1"/>
      </c>
      <c r="AE23" s="124">
        <f>IF(AD23&lt;&gt;"",'Scoring Accuracy'!H27/6+AD23,"")</f>
      </c>
    </row>
    <row r="24" spans="1:31" ht="12.75">
      <c r="A24" s="76">
        <f>IF(Exam_20=0,"",Exam_20)</f>
        <v>20</v>
      </c>
      <c r="B24" s="150"/>
      <c r="C24" s="150"/>
      <c r="D24" s="150"/>
      <c r="E24" s="150"/>
      <c r="F24" s="152"/>
      <c r="G24" s="152"/>
      <c r="H24" s="152"/>
      <c r="I24" s="152"/>
      <c r="J24" s="154"/>
      <c r="K24" s="154"/>
      <c r="L24" s="154"/>
      <c r="M24" s="154"/>
      <c r="N24" s="156"/>
      <c r="O24" s="156"/>
      <c r="P24" s="156"/>
      <c r="Q24" s="156"/>
      <c r="R24" s="158"/>
      <c r="S24" s="158"/>
      <c r="T24" s="158"/>
      <c r="U24" s="158"/>
      <c r="V24" s="160"/>
      <c r="W24" s="160"/>
      <c r="X24" s="160"/>
      <c r="Y24" s="160"/>
      <c r="Z24" s="79"/>
      <c r="AA24" s="79"/>
      <c r="AB24" s="79"/>
      <c r="AC24" s="79"/>
      <c r="AD24" s="126">
        <f t="shared" si="1"/>
      </c>
      <c r="AE24" s="124">
        <f>IF(AD24&lt;&gt;"",'Scoring Accuracy'!H28/6+AD24,"")</f>
      </c>
    </row>
    <row r="25" spans="1:31" ht="12.75">
      <c r="A25" s="76">
        <f>IF(Exam_21=0,"",Exam_21)</f>
        <v>21</v>
      </c>
      <c r="B25" s="150"/>
      <c r="C25" s="150"/>
      <c r="D25" s="150"/>
      <c r="E25" s="150"/>
      <c r="F25" s="152"/>
      <c r="G25" s="152"/>
      <c r="H25" s="152"/>
      <c r="I25" s="152"/>
      <c r="J25" s="154"/>
      <c r="K25" s="154"/>
      <c r="L25" s="154"/>
      <c r="M25" s="154"/>
      <c r="N25" s="156"/>
      <c r="O25" s="156"/>
      <c r="P25" s="156"/>
      <c r="Q25" s="156"/>
      <c r="R25" s="158"/>
      <c r="S25" s="158"/>
      <c r="T25" s="158"/>
      <c r="U25" s="158"/>
      <c r="V25" s="160"/>
      <c r="W25" s="160"/>
      <c r="X25" s="160"/>
      <c r="Y25" s="160"/>
      <c r="Z25" s="79"/>
      <c r="AA25" s="79"/>
      <c r="AB25" s="79"/>
      <c r="AC25" s="79"/>
      <c r="AD25" s="126">
        <f t="shared" si="1"/>
      </c>
      <c r="AE25" s="124">
        <f>IF(AD25&lt;&gt;"",'Scoring Accuracy'!H29/6+AD25,"")</f>
      </c>
    </row>
    <row r="26" spans="1:31" ht="12.75">
      <c r="A26" s="76">
        <f>IF(Exam_22=0,"",Exam_22)</f>
        <v>22</v>
      </c>
      <c r="B26" s="150"/>
      <c r="C26" s="150"/>
      <c r="D26" s="150"/>
      <c r="E26" s="150"/>
      <c r="F26" s="152"/>
      <c r="G26" s="152"/>
      <c r="H26" s="152"/>
      <c r="I26" s="152"/>
      <c r="J26" s="154"/>
      <c r="K26" s="154"/>
      <c r="L26" s="154"/>
      <c r="M26" s="154"/>
      <c r="N26" s="156"/>
      <c r="O26" s="156"/>
      <c r="P26" s="156"/>
      <c r="Q26" s="156"/>
      <c r="R26" s="158"/>
      <c r="S26" s="158"/>
      <c r="T26" s="158"/>
      <c r="U26" s="158"/>
      <c r="V26" s="160"/>
      <c r="W26" s="160"/>
      <c r="X26" s="160"/>
      <c r="Y26" s="160"/>
      <c r="Z26" s="79"/>
      <c r="AA26" s="79"/>
      <c r="AB26" s="79"/>
      <c r="AC26" s="79"/>
      <c r="AD26" s="126">
        <f t="shared" si="1"/>
      </c>
      <c r="AE26" s="124">
        <f>IF(AD26&lt;&gt;"",'Scoring Accuracy'!H30/6+AD26,"")</f>
      </c>
    </row>
    <row r="27" spans="1:31" ht="12.75">
      <c r="A27" s="76">
        <f>IF(Exam_23=0,"",Exam_23)</f>
        <v>23</v>
      </c>
      <c r="B27" s="150"/>
      <c r="C27" s="150"/>
      <c r="D27" s="150"/>
      <c r="E27" s="150"/>
      <c r="F27" s="152"/>
      <c r="G27" s="152"/>
      <c r="H27" s="152"/>
      <c r="I27" s="152"/>
      <c r="J27" s="154"/>
      <c r="K27" s="154"/>
      <c r="L27" s="154"/>
      <c r="M27" s="154"/>
      <c r="N27" s="156"/>
      <c r="O27" s="156"/>
      <c r="P27" s="156"/>
      <c r="Q27" s="156"/>
      <c r="R27" s="158"/>
      <c r="S27" s="158"/>
      <c r="T27" s="158"/>
      <c r="U27" s="158"/>
      <c r="V27" s="160"/>
      <c r="W27" s="160"/>
      <c r="X27" s="160"/>
      <c r="Y27" s="160"/>
      <c r="Z27" s="79"/>
      <c r="AA27" s="79"/>
      <c r="AB27" s="79"/>
      <c r="AC27" s="79"/>
      <c r="AD27" s="126">
        <f t="shared" si="1"/>
      </c>
      <c r="AE27" s="124">
        <f>IF(AD27&lt;&gt;"",'Scoring Accuracy'!H31/6+AD27,"")</f>
      </c>
    </row>
    <row r="28" spans="1:31" ht="12.75">
      <c r="A28" s="76">
        <f>IF(Exam_24=0,"",Exam_24)</f>
        <v>24</v>
      </c>
      <c r="B28" s="150"/>
      <c r="C28" s="150"/>
      <c r="D28" s="150"/>
      <c r="E28" s="150"/>
      <c r="F28" s="152"/>
      <c r="G28" s="152"/>
      <c r="H28" s="152"/>
      <c r="I28" s="152"/>
      <c r="J28" s="154"/>
      <c r="K28" s="154"/>
      <c r="L28" s="154"/>
      <c r="M28" s="154"/>
      <c r="N28" s="156"/>
      <c r="O28" s="156"/>
      <c r="P28" s="156"/>
      <c r="Q28" s="156"/>
      <c r="R28" s="158"/>
      <c r="S28" s="158"/>
      <c r="T28" s="158"/>
      <c r="U28" s="158"/>
      <c r="V28" s="160"/>
      <c r="W28" s="160"/>
      <c r="X28" s="160"/>
      <c r="Y28" s="160"/>
      <c r="Z28" s="79"/>
      <c r="AA28" s="79"/>
      <c r="AB28" s="79"/>
      <c r="AC28" s="79"/>
      <c r="AD28" s="126">
        <f t="shared" si="1"/>
      </c>
      <c r="AE28" s="124">
        <f>IF(AD28&lt;&gt;"",'Scoring Accuracy'!H32/6+AD28,"")</f>
      </c>
    </row>
  </sheetData>
  <sheetProtection/>
  <mergeCells count="9">
    <mergeCell ref="Z3:AC3"/>
    <mergeCell ref="Z2:AC2"/>
    <mergeCell ref="B2:W2"/>
    <mergeCell ref="V3:Y3"/>
    <mergeCell ref="R3:U3"/>
    <mergeCell ref="N3:Q3"/>
    <mergeCell ref="J3:M3"/>
    <mergeCell ref="F3:I3"/>
    <mergeCell ref="B3:E3"/>
  </mergeCell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AE28"/>
  <sheetViews>
    <sheetView zoomScalePageLayoutView="0" workbookViewId="0" topLeftCell="A1">
      <selection activeCell="V3" sqref="V3:Y28"/>
    </sheetView>
  </sheetViews>
  <sheetFormatPr defaultColWidth="10.75390625" defaultRowHeight="12.75"/>
  <cols>
    <col min="1" max="1" width="10.75390625" style="3" customWidth="1"/>
    <col min="2" max="5" width="4.625" style="3" bestFit="1" customWidth="1"/>
    <col min="6" max="7" width="4.625" style="3" customWidth="1"/>
    <col min="8" max="11" width="4.625" style="3" bestFit="1" customWidth="1"/>
    <col min="12" max="13" width="4.625" style="3" customWidth="1"/>
    <col min="14" max="17" width="4.625" style="3" bestFit="1" customWidth="1"/>
    <col min="18" max="19" width="4.625" style="3" customWidth="1"/>
    <col min="20" max="23" width="4.625" style="3" bestFit="1" customWidth="1"/>
    <col min="24" max="25" width="4.625" style="3" customWidth="1"/>
    <col min="26" max="26" width="8.00390625" style="3" bestFit="1" customWidth="1"/>
    <col min="27" max="29" width="4.625" style="3" bestFit="1" customWidth="1"/>
    <col min="30" max="30" width="6.125" style="3" bestFit="1" customWidth="1"/>
    <col min="31" max="31" width="5.75390625" style="3" customWidth="1"/>
    <col min="32" max="16384" width="10.75390625" style="3" customWidth="1"/>
  </cols>
  <sheetData>
    <row r="1" spans="1:4" ht="12.75">
      <c r="A1" s="2"/>
      <c r="B1" s="2"/>
      <c r="C1" s="2"/>
      <c r="D1" s="2"/>
    </row>
    <row r="2" spans="2:29" ht="12.75">
      <c r="B2" s="182" t="s">
        <v>13</v>
      </c>
      <c r="C2" s="182"/>
      <c r="D2" s="182"/>
      <c r="E2" s="182"/>
      <c r="F2" s="182"/>
      <c r="G2" s="182"/>
      <c r="H2" s="182"/>
      <c r="I2" s="182"/>
      <c r="J2" s="182"/>
      <c r="K2" s="182"/>
      <c r="L2" s="182"/>
      <c r="M2" s="182"/>
      <c r="N2" s="182"/>
      <c r="O2" s="182"/>
      <c r="P2" s="182"/>
      <c r="Q2" s="182"/>
      <c r="R2" s="182"/>
      <c r="S2" s="182"/>
      <c r="T2" s="182"/>
      <c r="U2" s="182"/>
      <c r="V2" s="182"/>
      <c r="W2" s="182"/>
      <c r="X2" s="110"/>
      <c r="Y2" s="110"/>
      <c r="Z2" s="181" t="s">
        <v>14</v>
      </c>
      <c r="AA2" s="181"/>
      <c r="AB2" s="181"/>
      <c r="AC2" s="181"/>
    </row>
    <row r="3" spans="1:31" s="2" customFormat="1" ht="12.75">
      <c r="A3" s="111" t="s">
        <v>18</v>
      </c>
      <c r="B3" s="198" t="str">
        <f>BeerName1</f>
        <v>Style1</v>
      </c>
      <c r="C3" s="199"/>
      <c r="D3" s="199"/>
      <c r="E3" s="200"/>
      <c r="F3" s="195" t="str">
        <f>BeerName2</f>
        <v>Style2</v>
      </c>
      <c r="G3" s="196"/>
      <c r="H3" s="196"/>
      <c r="I3" s="197"/>
      <c r="J3" s="192" t="str">
        <f>BeerName3</f>
        <v>Style3</v>
      </c>
      <c r="K3" s="193"/>
      <c r="L3" s="193"/>
      <c r="M3" s="194"/>
      <c r="N3" s="189" t="str">
        <f>BeerName4</f>
        <v>Style4</v>
      </c>
      <c r="O3" s="190"/>
      <c r="P3" s="190"/>
      <c r="Q3" s="191"/>
      <c r="R3" s="186" t="str">
        <f>BeerName5</f>
        <v>Style5</v>
      </c>
      <c r="S3" s="187"/>
      <c r="T3" s="187"/>
      <c r="U3" s="188"/>
      <c r="V3" s="183" t="str">
        <f>BeerName6</f>
        <v>Style6</v>
      </c>
      <c r="W3" s="184"/>
      <c r="X3" s="184"/>
      <c r="Y3" s="185"/>
      <c r="Z3" s="178" t="s">
        <v>12</v>
      </c>
      <c r="AA3" s="179"/>
      <c r="AB3" s="179"/>
      <c r="AC3" s="180"/>
      <c r="AD3" s="112" t="s">
        <v>6</v>
      </c>
      <c r="AE3" s="113" t="s">
        <v>39</v>
      </c>
    </row>
    <row r="4" spans="1:31" ht="12.75">
      <c r="A4" s="114"/>
      <c r="B4" s="149" t="s">
        <v>8</v>
      </c>
      <c r="C4" s="149" t="s">
        <v>9</v>
      </c>
      <c r="D4" s="149" t="s">
        <v>10</v>
      </c>
      <c r="E4" s="149" t="s">
        <v>11</v>
      </c>
      <c r="F4" s="151" t="s">
        <v>8</v>
      </c>
      <c r="G4" s="151" t="s">
        <v>9</v>
      </c>
      <c r="H4" s="151" t="s">
        <v>10</v>
      </c>
      <c r="I4" s="151" t="s">
        <v>11</v>
      </c>
      <c r="J4" s="153" t="s">
        <v>8</v>
      </c>
      <c r="K4" s="153" t="s">
        <v>9</v>
      </c>
      <c r="L4" s="153" t="s">
        <v>10</v>
      </c>
      <c r="M4" s="153" t="s">
        <v>11</v>
      </c>
      <c r="N4" s="155" t="s">
        <v>8</v>
      </c>
      <c r="O4" s="155" t="s">
        <v>9</v>
      </c>
      <c r="P4" s="155" t="s">
        <v>10</v>
      </c>
      <c r="Q4" s="155" t="s">
        <v>11</v>
      </c>
      <c r="R4" s="157" t="s">
        <v>8</v>
      </c>
      <c r="S4" s="157" t="s">
        <v>9</v>
      </c>
      <c r="T4" s="157" t="s">
        <v>10</v>
      </c>
      <c r="U4" s="157" t="s">
        <v>11</v>
      </c>
      <c r="V4" s="159" t="s">
        <v>8</v>
      </c>
      <c r="W4" s="159" t="s">
        <v>9</v>
      </c>
      <c r="X4" s="159" t="s">
        <v>10</v>
      </c>
      <c r="Y4" s="159" t="s">
        <v>11</v>
      </c>
      <c r="Z4" s="117" t="s">
        <v>8</v>
      </c>
      <c r="AA4" s="117" t="s">
        <v>9</v>
      </c>
      <c r="AB4" s="117" t="s">
        <v>10</v>
      </c>
      <c r="AC4" s="117" t="s">
        <v>11</v>
      </c>
      <c r="AD4" s="118">
        <v>80</v>
      </c>
      <c r="AE4" s="113">
        <v>100</v>
      </c>
    </row>
    <row r="5" spans="1:31" ht="12.75">
      <c r="A5" s="76">
        <f>IF(Exam_01=0,"",Exam_01)</f>
        <v>1</v>
      </c>
      <c r="B5" s="150"/>
      <c r="C5" s="150"/>
      <c r="D5" s="150"/>
      <c r="E5" s="150"/>
      <c r="F5" s="152"/>
      <c r="G5" s="152"/>
      <c r="H5" s="152"/>
      <c r="I5" s="152"/>
      <c r="J5" s="154"/>
      <c r="K5" s="154"/>
      <c r="L5" s="154"/>
      <c r="M5" s="154"/>
      <c r="N5" s="156"/>
      <c r="O5" s="156"/>
      <c r="P5" s="156"/>
      <c r="Q5" s="156"/>
      <c r="R5" s="158"/>
      <c r="S5" s="158"/>
      <c r="T5" s="158"/>
      <c r="U5" s="158"/>
      <c r="V5" s="160"/>
      <c r="W5" s="160"/>
      <c r="X5" s="160"/>
      <c r="Y5" s="160"/>
      <c r="Z5" s="79">
        <f aca="true" t="shared" si="0" ref="Z5:Z15">IF(V5&lt;&gt;"",AVERAGE(B5,F5,J5,N5,R5,V5),"")</f>
      </c>
      <c r="AA5" s="79">
        <f aca="true" t="shared" si="1" ref="AA5:AA15">IF(W5&lt;&gt;"",AVERAGE(C5,G5,K5,O5,S5,W5),"")</f>
      </c>
      <c r="AB5" s="79">
        <f aca="true" t="shared" si="2" ref="AB5:AB15">IF(X5&lt;&gt;"",AVERAGE(D5,H5,L5,P5,T5,X5),"")</f>
      </c>
      <c r="AC5" s="79">
        <f aca="true" t="shared" si="3" ref="AC5:AC15">IF(Y5&lt;&gt;"",AVERAGE(E5,I5,M5,Q5,U5,Y5),"")</f>
      </c>
      <c r="AD5" s="123">
        <f>IF(AC5&lt;&gt;"",SUM(Z5:AC5),"")</f>
      </c>
      <c r="AE5" s="124">
        <f>IF(AD5&lt;&gt;"",'Scoring Accuracy'!H9/6+AD5,"")</f>
      </c>
    </row>
    <row r="6" spans="1:31" ht="12.75">
      <c r="A6" s="76">
        <f>IF(Exam_02=0,"",Exam_02)</f>
        <v>2</v>
      </c>
      <c r="B6" s="150"/>
      <c r="C6" s="150"/>
      <c r="D6" s="150"/>
      <c r="E6" s="150"/>
      <c r="F6" s="152"/>
      <c r="G6" s="152"/>
      <c r="H6" s="152"/>
      <c r="I6" s="152"/>
      <c r="J6" s="154"/>
      <c r="K6" s="154"/>
      <c r="L6" s="154"/>
      <c r="M6" s="154"/>
      <c r="N6" s="156"/>
      <c r="O6" s="156"/>
      <c r="P6" s="156"/>
      <c r="Q6" s="156"/>
      <c r="R6" s="158"/>
      <c r="S6" s="158"/>
      <c r="T6" s="158"/>
      <c r="U6" s="158"/>
      <c r="V6" s="160"/>
      <c r="W6" s="160"/>
      <c r="X6" s="160"/>
      <c r="Y6" s="160"/>
      <c r="Z6" s="79">
        <f t="shared" si="0"/>
      </c>
      <c r="AA6" s="79">
        <f t="shared" si="1"/>
      </c>
      <c r="AB6" s="79">
        <f t="shared" si="2"/>
      </c>
      <c r="AC6" s="79">
        <f t="shared" si="3"/>
      </c>
      <c r="AD6" s="123">
        <f aca="true" t="shared" si="4" ref="AD6:AD24">IF(AC6&lt;&gt;"",SUM(Z6:AC6),"")</f>
      </c>
      <c r="AE6" s="124">
        <f>IF(AD6&lt;&gt;"",'Scoring Accuracy'!H10/6+AD6,"")</f>
      </c>
    </row>
    <row r="7" spans="1:31" ht="12.75">
      <c r="A7" s="76">
        <f>IF(Exam_03=0,"",Exam_03)</f>
        <v>3</v>
      </c>
      <c r="B7" s="150"/>
      <c r="C7" s="150"/>
      <c r="D7" s="150"/>
      <c r="E7" s="150"/>
      <c r="F7" s="152"/>
      <c r="G7" s="152"/>
      <c r="H7" s="152"/>
      <c r="I7" s="152"/>
      <c r="J7" s="154"/>
      <c r="K7" s="154"/>
      <c r="L7" s="154"/>
      <c r="M7" s="154"/>
      <c r="N7" s="156"/>
      <c r="O7" s="156"/>
      <c r="P7" s="156"/>
      <c r="Q7" s="156"/>
      <c r="R7" s="158"/>
      <c r="S7" s="158"/>
      <c r="T7" s="158"/>
      <c r="U7" s="158"/>
      <c r="V7" s="160"/>
      <c r="W7" s="160"/>
      <c r="X7" s="160"/>
      <c r="Y7" s="160"/>
      <c r="Z7" s="79">
        <f t="shared" si="0"/>
      </c>
      <c r="AA7" s="79">
        <f t="shared" si="1"/>
      </c>
      <c r="AB7" s="79">
        <f t="shared" si="2"/>
      </c>
      <c r="AC7" s="79">
        <f t="shared" si="3"/>
      </c>
      <c r="AD7" s="123">
        <f t="shared" si="4"/>
      </c>
      <c r="AE7" s="124">
        <f>IF(AD7&lt;&gt;"",'Scoring Accuracy'!H11/6+AD7,"")</f>
      </c>
    </row>
    <row r="8" spans="1:31" ht="12.75">
      <c r="A8" s="76">
        <f>IF(Exam_04=0,"",Exam_04)</f>
        <v>4</v>
      </c>
      <c r="B8" s="150"/>
      <c r="C8" s="150"/>
      <c r="D8" s="150"/>
      <c r="E8" s="150"/>
      <c r="F8" s="152"/>
      <c r="G8" s="152"/>
      <c r="H8" s="152"/>
      <c r="I8" s="152"/>
      <c r="J8" s="154"/>
      <c r="K8" s="154"/>
      <c r="L8" s="154"/>
      <c r="M8" s="154"/>
      <c r="N8" s="156"/>
      <c r="O8" s="156"/>
      <c r="P8" s="156"/>
      <c r="Q8" s="156"/>
      <c r="R8" s="158"/>
      <c r="S8" s="158"/>
      <c r="T8" s="158"/>
      <c r="U8" s="158"/>
      <c r="V8" s="160"/>
      <c r="W8" s="160"/>
      <c r="X8" s="160"/>
      <c r="Y8" s="160"/>
      <c r="Z8" s="79">
        <f t="shared" si="0"/>
      </c>
      <c r="AA8" s="79">
        <f t="shared" si="1"/>
      </c>
      <c r="AB8" s="79">
        <f t="shared" si="2"/>
      </c>
      <c r="AC8" s="79">
        <f t="shared" si="3"/>
      </c>
      <c r="AD8" s="123">
        <f t="shared" si="4"/>
      </c>
      <c r="AE8" s="124">
        <f>IF(AD8&lt;&gt;"",'Scoring Accuracy'!H12/6+AD8,"")</f>
      </c>
    </row>
    <row r="9" spans="1:31" ht="12.75">
      <c r="A9" s="76">
        <f>IF(Exam_05=0,"",Exam_05)</f>
        <v>5</v>
      </c>
      <c r="B9" s="150"/>
      <c r="C9" s="150"/>
      <c r="D9" s="150"/>
      <c r="E9" s="150"/>
      <c r="F9" s="152"/>
      <c r="G9" s="152"/>
      <c r="H9" s="152"/>
      <c r="I9" s="152"/>
      <c r="J9" s="154"/>
      <c r="K9" s="154"/>
      <c r="L9" s="154"/>
      <c r="M9" s="154"/>
      <c r="N9" s="156"/>
      <c r="O9" s="156"/>
      <c r="P9" s="156"/>
      <c r="Q9" s="156"/>
      <c r="R9" s="158"/>
      <c r="S9" s="158"/>
      <c r="T9" s="158"/>
      <c r="U9" s="158"/>
      <c r="V9" s="160"/>
      <c r="W9" s="160"/>
      <c r="X9" s="160"/>
      <c r="Y9" s="160"/>
      <c r="Z9" s="79">
        <f t="shared" si="0"/>
      </c>
      <c r="AA9" s="79">
        <f t="shared" si="1"/>
      </c>
      <c r="AB9" s="79">
        <f t="shared" si="2"/>
      </c>
      <c r="AC9" s="79">
        <f t="shared" si="3"/>
      </c>
      <c r="AD9" s="123">
        <f t="shared" si="4"/>
      </c>
      <c r="AE9" s="124">
        <f>IF(AD9&lt;&gt;"",'Scoring Accuracy'!H13/6+AD9,"")</f>
      </c>
    </row>
    <row r="10" spans="1:31" ht="12.75">
      <c r="A10" s="76">
        <f>IF(Exam_06=0,"",Exam_06)</f>
        <v>6</v>
      </c>
      <c r="B10" s="150"/>
      <c r="C10" s="150"/>
      <c r="D10" s="150"/>
      <c r="E10" s="150"/>
      <c r="F10" s="152"/>
      <c r="G10" s="152"/>
      <c r="H10" s="152"/>
      <c r="I10" s="152"/>
      <c r="J10" s="154"/>
      <c r="K10" s="154"/>
      <c r="L10" s="154"/>
      <c r="M10" s="154"/>
      <c r="N10" s="156"/>
      <c r="O10" s="156"/>
      <c r="P10" s="156"/>
      <c r="Q10" s="156"/>
      <c r="R10" s="158"/>
      <c r="S10" s="158"/>
      <c r="T10" s="158"/>
      <c r="U10" s="158"/>
      <c r="V10" s="160"/>
      <c r="W10" s="160"/>
      <c r="X10" s="160"/>
      <c r="Y10" s="160"/>
      <c r="Z10" s="79">
        <f t="shared" si="0"/>
      </c>
      <c r="AA10" s="79">
        <f t="shared" si="1"/>
      </c>
      <c r="AB10" s="79">
        <f t="shared" si="2"/>
      </c>
      <c r="AC10" s="79">
        <f t="shared" si="3"/>
      </c>
      <c r="AD10" s="123">
        <f t="shared" si="4"/>
      </c>
      <c r="AE10" s="124">
        <f>IF(AD10&lt;&gt;"",'Scoring Accuracy'!H14/6+AD10,"")</f>
      </c>
    </row>
    <row r="11" spans="1:31" ht="12.75">
      <c r="A11" s="76">
        <f>IF(Exam_07=0,"",Exam_07)</f>
        <v>7</v>
      </c>
      <c r="B11" s="150"/>
      <c r="C11" s="150"/>
      <c r="D11" s="150"/>
      <c r="E11" s="150"/>
      <c r="F11" s="152"/>
      <c r="G11" s="152"/>
      <c r="H11" s="152"/>
      <c r="I11" s="152"/>
      <c r="J11" s="154"/>
      <c r="K11" s="154"/>
      <c r="L11" s="154"/>
      <c r="M11" s="154"/>
      <c r="N11" s="156"/>
      <c r="O11" s="156"/>
      <c r="P11" s="156"/>
      <c r="Q11" s="156"/>
      <c r="R11" s="158"/>
      <c r="S11" s="158"/>
      <c r="T11" s="158"/>
      <c r="U11" s="158"/>
      <c r="V11" s="160"/>
      <c r="W11" s="160"/>
      <c r="X11" s="160"/>
      <c r="Y11" s="160"/>
      <c r="Z11" s="79">
        <f t="shared" si="0"/>
      </c>
      <c r="AA11" s="79">
        <f t="shared" si="1"/>
      </c>
      <c r="AB11" s="79">
        <f t="shared" si="2"/>
      </c>
      <c r="AC11" s="79">
        <f t="shared" si="3"/>
      </c>
      <c r="AD11" s="123">
        <f t="shared" si="4"/>
      </c>
      <c r="AE11" s="124">
        <f>IF(AD11&lt;&gt;"",'Scoring Accuracy'!H15/6+AD11,"")</f>
      </c>
    </row>
    <row r="12" spans="1:31" ht="12.75">
      <c r="A12" s="76">
        <f>IF(Exam_08=0,"",Exam_08)</f>
        <v>8</v>
      </c>
      <c r="B12" s="150"/>
      <c r="C12" s="150"/>
      <c r="D12" s="150"/>
      <c r="E12" s="150"/>
      <c r="F12" s="152"/>
      <c r="G12" s="152"/>
      <c r="H12" s="152"/>
      <c r="I12" s="152"/>
      <c r="J12" s="154"/>
      <c r="K12" s="154"/>
      <c r="L12" s="154"/>
      <c r="M12" s="154"/>
      <c r="N12" s="156"/>
      <c r="O12" s="156"/>
      <c r="P12" s="156"/>
      <c r="Q12" s="156"/>
      <c r="R12" s="158"/>
      <c r="S12" s="158"/>
      <c r="T12" s="158"/>
      <c r="U12" s="158"/>
      <c r="V12" s="160"/>
      <c r="W12" s="160"/>
      <c r="X12" s="160"/>
      <c r="Y12" s="160"/>
      <c r="Z12" s="79">
        <f t="shared" si="0"/>
      </c>
      <c r="AA12" s="79">
        <f t="shared" si="1"/>
      </c>
      <c r="AB12" s="79">
        <f t="shared" si="2"/>
      </c>
      <c r="AC12" s="79">
        <f t="shared" si="3"/>
      </c>
      <c r="AD12" s="123">
        <f t="shared" si="4"/>
      </c>
      <c r="AE12" s="124">
        <f>IF(AD12&lt;&gt;"",'Scoring Accuracy'!H16/6+AD12,"")</f>
      </c>
    </row>
    <row r="13" spans="1:31" ht="12.75">
      <c r="A13" s="76">
        <f>IF(Exam_09=0,"",Exam_09)</f>
        <v>9</v>
      </c>
      <c r="B13" s="150"/>
      <c r="C13" s="150"/>
      <c r="D13" s="150"/>
      <c r="E13" s="150"/>
      <c r="F13" s="152"/>
      <c r="G13" s="152"/>
      <c r="H13" s="152"/>
      <c r="I13" s="152"/>
      <c r="J13" s="154"/>
      <c r="K13" s="154"/>
      <c r="L13" s="154"/>
      <c r="M13" s="154"/>
      <c r="N13" s="156"/>
      <c r="O13" s="156"/>
      <c r="P13" s="156"/>
      <c r="Q13" s="156"/>
      <c r="R13" s="158"/>
      <c r="S13" s="158"/>
      <c r="T13" s="158"/>
      <c r="U13" s="158"/>
      <c r="V13" s="160"/>
      <c r="W13" s="160"/>
      <c r="X13" s="160"/>
      <c r="Y13" s="160"/>
      <c r="Z13" s="79">
        <f t="shared" si="0"/>
      </c>
      <c r="AA13" s="79">
        <f t="shared" si="1"/>
      </c>
      <c r="AB13" s="79">
        <f t="shared" si="2"/>
      </c>
      <c r="AC13" s="79">
        <f t="shared" si="3"/>
      </c>
      <c r="AD13" s="123">
        <f t="shared" si="4"/>
      </c>
      <c r="AE13" s="124">
        <f>IF(AD13&lt;&gt;"",'Scoring Accuracy'!H17/6+AD13,"")</f>
      </c>
    </row>
    <row r="14" spans="1:31" ht="12.75">
      <c r="A14" s="76">
        <f>IF(Exam_10=0,"",Exam_10)</f>
        <v>10</v>
      </c>
      <c r="B14" s="150"/>
      <c r="C14" s="150"/>
      <c r="D14" s="150"/>
      <c r="E14" s="150"/>
      <c r="F14" s="152"/>
      <c r="G14" s="152"/>
      <c r="H14" s="152"/>
      <c r="I14" s="152"/>
      <c r="J14" s="154"/>
      <c r="K14" s="154"/>
      <c r="L14" s="154"/>
      <c r="M14" s="154"/>
      <c r="N14" s="156"/>
      <c r="O14" s="156"/>
      <c r="P14" s="156"/>
      <c r="Q14" s="156"/>
      <c r="R14" s="158"/>
      <c r="S14" s="158"/>
      <c r="T14" s="158"/>
      <c r="U14" s="158"/>
      <c r="V14" s="160"/>
      <c r="W14" s="160"/>
      <c r="X14" s="160"/>
      <c r="Y14" s="160"/>
      <c r="Z14" s="79">
        <f t="shared" si="0"/>
      </c>
      <c r="AA14" s="79">
        <f t="shared" si="1"/>
      </c>
      <c r="AB14" s="79">
        <f t="shared" si="2"/>
      </c>
      <c r="AC14" s="79">
        <f t="shared" si="3"/>
      </c>
      <c r="AD14" s="123">
        <f t="shared" si="4"/>
      </c>
      <c r="AE14" s="124">
        <f>IF(AD14&lt;&gt;"",'Scoring Accuracy'!H18/6+AD14,"")</f>
      </c>
    </row>
    <row r="15" spans="1:31" ht="12.75">
      <c r="A15" s="76">
        <f>IF(Exam_11=0,"",Exam_11)</f>
        <v>11</v>
      </c>
      <c r="B15" s="150"/>
      <c r="C15" s="150"/>
      <c r="D15" s="150"/>
      <c r="E15" s="150"/>
      <c r="F15" s="152"/>
      <c r="G15" s="152"/>
      <c r="H15" s="152"/>
      <c r="I15" s="152"/>
      <c r="J15" s="154"/>
      <c r="K15" s="154"/>
      <c r="L15" s="154"/>
      <c r="M15" s="154"/>
      <c r="N15" s="156"/>
      <c r="O15" s="156"/>
      <c r="P15" s="156"/>
      <c r="Q15" s="156"/>
      <c r="R15" s="158"/>
      <c r="S15" s="158"/>
      <c r="T15" s="158"/>
      <c r="U15" s="158"/>
      <c r="V15" s="160"/>
      <c r="W15" s="160"/>
      <c r="X15" s="160"/>
      <c r="Y15" s="160"/>
      <c r="Z15" s="79">
        <f t="shared" si="0"/>
      </c>
      <c r="AA15" s="79">
        <f t="shared" si="1"/>
      </c>
      <c r="AB15" s="79">
        <f t="shared" si="2"/>
      </c>
      <c r="AC15" s="79">
        <f t="shared" si="3"/>
      </c>
      <c r="AD15" s="123">
        <f t="shared" si="4"/>
      </c>
      <c r="AE15" s="124">
        <f>IF(AD15&lt;&gt;"",'Scoring Accuracy'!H19/6+AD15,"")</f>
      </c>
    </row>
    <row r="16" spans="1:31" ht="12.75">
      <c r="A16" s="76">
        <f>IF(Exam_12=0,"",Exam_12)</f>
        <v>12</v>
      </c>
      <c r="B16" s="150"/>
      <c r="C16" s="150"/>
      <c r="D16" s="150"/>
      <c r="E16" s="150"/>
      <c r="F16" s="152"/>
      <c r="G16" s="152"/>
      <c r="H16" s="152"/>
      <c r="I16" s="152"/>
      <c r="J16" s="154"/>
      <c r="K16" s="154"/>
      <c r="L16" s="154"/>
      <c r="M16" s="154"/>
      <c r="N16" s="156"/>
      <c r="O16" s="156"/>
      <c r="P16" s="156"/>
      <c r="Q16" s="156"/>
      <c r="R16" s="158"/>
      <c r="S16" s="158"/>
      <c r="T16" s="158"/>
      <c r="U16" s="158"/>
      <c r="V16" s="160"/>
      <c r="W16" s="160"/>
      <c r="X16" s="160"/>
      <c r="Y16" s="160"/>
      <c r="Z16" s="79">
        <f aca="true" t="shared" si="5" ref="Z16:Z24">IF(V16&lt;&gt;"",AVERAGE(B16,F16,J16,N16,R16,V16),"")</f>
      </c>
      <c r="AA16" s="79">
        <f aca="true" t="shared" si="6" ref="AA16:AA24">IF(W16&lt;&gt;"",AVERAGE(C16,G16,K16,O16,S16,W16),"")</f>
      </c>
      <c r="AB16" s="79">
        <f aca="true" t="shared" si="7" ref="AB16:AB24">IF(X16&lt;&gt;"",AVERAGE(D16,H16,L16,P16,T16,X16),"")</f>
      </c>
      <c r="AC16" s="79">
        <f aca="true" t="shared" si="8" ref="AC16:AC24">IF(Y16&lt;&gt;"",AVERAGE(E16,I16,M16,Q16,U16,Y16),"")</f>
      </c>
      <c r="AD16" s="123">
        <f t="shared" si="4"/>
      </c>
      <c r="AE16" s="124">
        <f>IF(AD16&lt;&gt;"",'Scoring Accuracy'!H20/6+AD16,"")</f>
      </c>
    </row>
    <row r="17" spans="1:31" ht="12.75">
      <c r="A17" s="76">
        <f>IF(Exam_13=0,"",Exam_13)</f>
        <v>13</v>
      </c>
      <c r="B17" s="150"/>
      <c r="C17" s="150"/>
      <c r="D17" s="150"/>
      <c r="E17" s="150"/>
      <c r="F17" s="152"/>
      <c r="G17" s="152"/>
      <c r="H17" s="152"/>
      <c r="I17" s="152"/>
      <c r="J17" s="154"/>
      <c r="K17" s="154"/>
      <c r="L17" s="154"/>
      <c r="M17" s="154"/>
      <c r="N17" s="156"/>
      <c r="O17" s="156"/>
      <c r="P17" s="156"/>
      <c r="Q17" s="156"/>
      <c r="R17" s="158"/>
      <c r="S17" s="158"/>
      <c r="T17" s="158"/>
      <c r="U17" s="158"/>
      <c r="V17" s="160"/>
      <c r="W17" s="160"/>
      <c r="X17" s="160"/>
      <c r="Y17" s="160"/>
      <c r="Z17" s="79">
        <f t="shared" si="5"/>
      </c>
      <c r="AA17" s="79">
        <f t="shared" si="6"/>
      </c>
      <c r="AB17" s="79">
        <f t="shared" si="7"/>
      </c>
      <c r="AC17" s="79">
        <f t="shared" si="8"/>
      </c>
      <c r="AD17" s="123">
        <f t="shared" si="4"/>
      </c>
      <c r="AE17" s="124">
        <f>IF(AD17&lt;&gt;"",'Scoring Accuracy'!H21/6+AD17,"")</f>
      </c>
    </row>
    <row r="18" spans="1:31" ht="12.75">
      <c r="A18" s="76">
        <f>IF(Exam_14=0,"",Exam_14)</f>
        <v>14</v>
      </c>
      <c r="B18" s="150"/>
      <c r="C18" s="150"/>
      <c r="D18" s="150"/>
      <c r="E18" s="150"/>
      <c r="F18" s="152"/>
      <c r="G18" s="152"/>
      <c r="H18" s="152"/>
      <c r="I18" s="152"/>
      <c r="J18" s="154"/>
      <c r="K18" s="154"/>
      <c r="L18" s="154"/>
      <c r="M18" s="154"/>
      <c r="N18" s="156"/>
      <c r="O18" s="156"/>
      <c r="P18" s="156"/>
      <c r="Q18" s="156"/>
      <c r="R18" s="158"/>
      <c r="S18" s="158"/>
      <c r="T18" s="158"/>
      <c r="U18" s="158"/>
      <c r="V18" s="160"/>
      <c r="W18" s="160"/>
      <c r="X18" s="160"/>
      <c r="Y18" s="160"/>
      <c r="Z18" s="79">
        <f t="shared" si="5"/>
      </c>
      <c r="AA18" s="79">
        <f t="shared" si="6"/>
      </c>
      <c r="AB18" s="79">
        <f t="shared" si="7"/>
      </c>
      <c r="AC18" s="79">
        <f t="shared" si="8"/>
      </c>
      <c r="AD18" s="125">
        <f t="shared" si="4"/>
      </c>
      <c r="AE18" s="124">
        <f>IF(AD18&lt;&gt;"",'Scoring Accuracy'!H22/6+AD18,"")</f>
      </c>
    </row>
    <row r="19" spans="1:31" ht="12.75">
      <c r="A19" s="76">
        <f>IF(Exam_15=0,"",Exam_15)</f>
        <v>15</v>
      </c>
      <c r="B19" s="150"/>
      <c r="C19" s="150"/>
      <c r="D19" s="150"/>
      <c r="E19" s="150"/>
      <c r="F19" s="152"/>
      <c r="G19" s="152"/>
      <c r="H19" s="152"/>
      <c r="I19" s="152"/>
      <c r="J19" s="154"/>
      <c r="K19" s="154"/>
      <c r="L19" s="154"/>
      <c r="M19" s="154"/>
      <c r="N19" s="156"/>
      <c r="O19" s="156"/>
      <c r="P19" s="156"/>
      <c r="Q19" s="156"/>
      <c r="R19" s="158"/>
      <c r="S19" s="158"/>
      <c r="T19" s="158"/>
      <c r="U19" s="158"/>
      <c r="V19" s="160"/>
      <c r="W19" s="160"/>
      <c r="X19" s="160"/>
      <c r="Y19" s="160"/>
      <c r="Z19" s="79">
        <f t="shared" si="5"/>
      </c>
      <c r="AA19" s="79">
        <f t="shared" si="6"/>
      </c>
      <c r="AB19" s="79">
        <f t="shared" si="7"/>
      </c>
      <c r="AC19" s="79">
        <f t="shared" si="8"/>
      </c>
      <c r="AD19" s="126">
        <f t="shared" si="4"/>
      </c>
      <c r="AE19" s="124">
        <f>IF(AD19&lt;&gt;"",'Scoring Accuracy'!H23/6+AD19,"")</f>
      </c>
    </row>
    <row r="20" spans="1:31" ht="12.75">
      <c r="A20" s="76">
        <f>IF(Exam_16=0,"",Exam_16)</f>
        <v>16</v>
      </c>
      <c r="B20" s="150"/>
      <c r="C20" s="150"/>
      <c r="D20" s="150"/>
      <c r="E20" s="150"/>
      <c r="F20" s="152"/>
      <c r="G20" s="152"/>
      <c r="H20" s="152"/>
      <c r="I20" s="152"/>
      <c r="J20" s="154"/>
      <c r="K20" s="154"/>
      <c r="L20" s="154"/>
      <c r="M20" s="154"/>
      <c r="N20" s="156"/>
      <c r="O20" s="156"/>
      <c r="P20" s="156"/>
      <c r="Q20" s="156"/>
      <c r="R20" s="158"/>
      <c r="S20" s="158"/>
      <c r="T20" s="158"/>
      <c r="U20" s="158"/>
      <c r="V20" s="160"/>
      <c r="W20" s="160"/>
      <c r="X20" s="160"/>
      <c r="Y20" s="160"/>
      <c r="Z20" s="79">
        <f t="shared" si="5"/>
      </c>
      <c r="AA20" s="79">
        <f t="shared" si="6"/>
      </c>
      <c r="AB20" s="79">
        <f t="shared" si="7"/>
      </c>
      <c r="AC20" s="79">
        <f t="shared" si="8"/>
      </c>
      <c r="AD20" s="126">
        <f t="shared" si="4"/>
      </c>
      <c r="AE20" s="124">
        <f>IF(AD20&lt;&gt;"",'Scoring Accuracy'!H24/6+AD20,"")</f>
      </c>
    </row>
    <row r="21" spans="1:31" ht="12.75">
      <c r="A21" s="76">
        <f>IF(Exam_17=0,"",Exam_17)</f>
        <v>17</v>
      </c>
      <c r="B21" s="150"/>
      <c r="C21" s="150"/>
      <c r="D21" s="150"/>
      <c r="E21" s="150"/>
      <c r="F21" s="152"/>
      <c r="G21" s="152"/>
      <c r="H21" s="152"/>
      <c r="I21" s="152"/>
      <c r="J21" s="154"/>
      <c r="K21" s="154"/>
      <c r="L21" s="154"/>
      <c r="M21" s="154"/>
      <c r="N21" s="156"/>
      <c r="O21" s="156"/>
      <c r="P21" s="156"/>
      <c r="Q21" s="156"/>
      <c r="R21" s="158"/>
      <c r="S21" s="158"/>
      <c r="T21" s="158"/>
      <c r="U21" s="158"/>
      <c r="V21" s="160"/>
      <c r="W21" s="160"/>
      <c r="X21" s="160"/>
      <c r="Y21" s="160"/>
      <c r="Z21" s="79">
        <f t="shared" si="5"/>
      </c>
      <c r="AA21" s="79">
        <f t="shared" si="6"/>
      </c>
      <c r="AB21" s="79">
        <f t="shared" si="7"/>
      </c>
      <c r="AC21" s="79">
        <f t="shared" si="8"/>
      </c>
      <c r="AD21" s="126">
        <f t="shared" si="4"/>
      </c>
      <c r="AE21" s="124">
        <f>IF(AD21&lt;&gt;"",'Scoring Accuracy'!H25/6+AD21,"")</f>
      </c>
    </row>
    <row r="22" spans="1:31" ht="12.75">
      <c r="A22" s="76">
        <f>IF(Exam_18=0,"",Exam_18)</f>
        <v>18</v>
      </c>
      <c r="B22" s="150"/>
      <c r="C22" s="150"/>
      <c r="D22" s="150"/>
      <c r="E22" s="150"/>
      <c r="F22" s="152"/>
      <c r="G22" s="152"/>
      <c r="H22" s="152"/>
      <c r="I22" s="152"/>
      <c r="J22" s="154"/>
      <c r="K22" s="154"/>
      <c r="L22" s="154"/>
      <c r="M22" s="154"/>
      <c r="N22" s="156"/>
      <c r="O22" s="156"/>
      <c r="P22" s="156"/>
      <c r="Q22" s="156"/>
      <c r="R22" s="158"/>
      <c r="S22" s="158"/>
      <c r="T22" s="158"/>
      <c r="U22" s="158"/>
      <c r="V22" s="160"/>
      <c r="W22" s="160"/>
      <c r="X22" s="160"/>
      <c r="Y22" s="160"/>
      <c r="Z22" s="79">
        <f t="shared" si="5"/>
      </c>
      <c r="AA22" s="79">
        <f t="shared" si="6"/>
      </c>
      <c r="AB22" s="79">
        <f t="shared" si="7"/>
      </c>
      <c r="AC22" s="79">
        <f t="shared" si="8"/>
      </c>
      <c r="AD22" s="126">
        <f t="shared" si="4"/>
      </c>
      <c r="AE22" s="124">
        <f>IF(AD22&lt;&gt;"",'Scoring Accuracy'!H26/6+AD22,"")</f>
      </c>
    </row>
    <row r="23" spans="1:31" ht="12.75">
      <c r="A23" s="76">
        <f>IF(Exam_19=0,"",Exam_19)</f>
        <v>19</v>
      </c>
      <c r="B23" s="150"/>
      <c r="C23" s="150"/>
      <c r="D23" s="150"/>
      <c r="E23" s="150"/>
      <c r="F23" s="152"/>
      <c r="G23" s="152"/>
      <c r="H23" s="152"/>
      <c r="I23" s="152"/>
      <c r="J23" s="154"/>
      <c r="K23" s="154"/>
      <c r="L23" s="154"/>
      <c r="M23" s="154"/>
      <c r="N23" s="156"/>
      <c r="O23" s="156"/>
      <c r="P23" s="156"/>
      <c r="Q23" s="156"/>
      <c r="R23" s="158"/>
      <c r="S23" s="158"/>
      <c r="T23" s="158"/>
      <c r="U23" s="158"/>
      <c r="V23" s="160"/>
      <c r="W23" s="160"/>
      <c r="X23" s="160"/>
      <c r="Y23" s="160"/>
      <c r="Z23" s="79">
        <f t="shared" si="5"/>
      </c>
      <c r="AA23" s="79">
        <f t="shared" si="6"/>
      </c>
      <c r="AB23" s="79">
        <f t="shared" si="7"/>
      </c>
      <c r="AC23" s="79">
        <f t="shared" si="8"/>
      </c>
      <c r="AD23" s="126">
        <f t="shared" si="4"/>
      </c>
      <c r="AE23" s="124">
        <f>IF(AD23&lt;&gt;"",'Scoring Accuracy'!H27/6+AD23,"")</f>
      </c>
    </row>
    <row r="24" spans="1:31" ht="12.75">
      <c r="A24" s="76">
        <f>IF(Exam_20=0,"",Exam_20)</f>
        <v>20</v>
      </c>
      <c r="B24" s="150"/>
      <c r="C24" s="150"/>
      <c r="D24" s="150"/>
      <c r="E24" s="150"/>
      <c r="F24" s="152"/>
      <c r="G24" s="152"/>
      <c r="H24" s="152"/>
      <c r="I24" s="152"/>
      <c r="J24" s="154"/>
      <c r="K24" s="154"/>
      <c r="L24" s="154"/>
      <c r="M24" s="154"/>
      <c r="N24" s="156"/>
      <c r="O24" s="156"/>
      <c r="P24" s="156"/>
      <c r="Q24" s="156"/>
      <c r="R24" s="158"/>
      <c r="S24" s="158"/>
      <c r="T24" s="158"/>
      <c r="U24" s="158"/>
      <c r="V24" s="160"/>
      <c r="W24" s="160"/>
      <c r="X24" s="160"/>
      <c r="Y24" s="160"/>
      <c r="Z24" s="79">
        <f t="shared" si="5"/>
      </c>
      <c r="AA24" s="79">
        <f t="shared" si="6"/>
      </c>
      <c r="AB24" s="79">
        <f t="shared" si="7"/>
      </c>
      <c r="AC24" s="79">
        <f t="shared" si="8"/>
      </c>
      <c r="AD24" s="126">
        <f t="shared" si="4"/>
      </c>
      <c r="AE24" s="124">
        <f>IF(AD24&lt;&gt;"",'Scoring Accuracy'!H28/6+AD24,"")</f>
      </c>
    </row>
    <row r="25" spans="1:31" ht="12.75">
      <c r="A25" s="76">
        <f>IF(Exam_21=0,"",Exam_21)</f>
        <v>21</v>
      </c>
      <c r="B25" s="150"/>
      <c r="C25" s="150"/>
      <c r="D25" s="150"/>
      <c r="E25" s="150"/>
      <c r="F25" s="152"/>
      <c r="G25" s="152"/>
      <c r="H25" s="152"/>
      <c r="I25" s="152"/>
      <c r="J25" s="154"/>
      <c r="K25" s="154"/>
      <c r="L25" s="154"/>
      <c r="M25" s="154"/>
      <c r="N25" s="156"/>
      <c r="O25" s="156"/>
      <c r="P25" s="156"/>
      <c r="Q25" s="156"/>
      <c r="R25" s="158"/>
      <c r="S25" s="158"/>
      <c r="T25" s="158"/>
      <c r="U25" s="158"/>
      <c r="V25" s="160"/>
      <c r="W25" s="160"/>
      <c r="X25" s="160"/>
      <c r="Y25" s="160"/>
      <c r="Z25" s="79">
        <f aca="true" t="shared" si="9" ref="Z25:AC28">IF(V25&lt;&gt;"",AVERAGE(B25,F25,J25,N25,R25,V25),"")</f>
      </c>
      <c r="AA25" s="79">
        <f t="shared" si="9"/>
      </c>
      <c r="AB25" s="79">
        <f t="shared" si="9"/>
      </c>
      <c r="AC25" s="79">
        <f t="shared" si="9"/>
      </c>
      <c r="AD25" s="126">
        <f>IF(AC25&lt;&gt;"",SUM(Z25:AC25),"")</f>
      </c>
      <c r="AE25" s="124">
        <f>IF(AD25&lt;&gt;"",'Scoring Accuracy'!H29/6+AD25,"")</f>
      </c>
    </row>
    <row r="26" spans="1:31" ht="12.75">
      <c r="A26" s="76">
        <f>IF(Exam_22=0,"",Exam_22)</f>
        <v>22</v>
      </c>
      <c r="B26" s="150"/>
      <c r="C26" s="150"/>
      <c r="D26" s="150"/>
      <c r="E26" s="150"/>
      <c r="F26" s="152"/>
      <c r="G26" s="152"/>
      <c r="H26" s="152"/>
      <c r="I26" s="152"/>
      <c r="J26" s="154"/>
      <c r="K26" s="154"/>
      <c r="L26" s="154"/>
      <c r="M26" s="154"/>
      <c r="N26" s="156"/>
      <c r="O26" s="156"/>
      <c r="P26" s="156"/>
      <c r="Q26" s="156"/>
      <c r="R26" s="158"/>
      <c r="S26" s="158"/>
      <c r="T26" s="158"/>
      <c r="U26" s="158"/>
      <c r="V26" s="160"/>
      <c r="W26" s="160"/>
      <c r="X26" s="160"/>
      <c r="Y26" s="160"/>
      <c r="Z26" s="79">
        <f t="shared" si="9"/>
      </c>
      <c r="AA26" s="79">
        <f t="shared" si="9"/>
      </c>
      <c r="AB26" s="79">
        <f t="shared" si="9"/>
      </c>
      <c r="AC26" s="79">
        <f t="shared" si="9"/>
      </c>
      <c r="AD26" s="126">
        <f>IF(AC26&lt;&gt;"",SUM(Z26:AC26),"")</f>
      </c>
      <c r="AE26" s="124">
        <f>IF(AD26&lt;&gt;"",'Scoring Accuracy'!H30/6+AD26,"")</f>
      </c>
    </row>
    <row r="27" spans="1:31" ht="12.75">
      <c r="A27" s="76">
        <f>IF(Exam_23=0,"",Exam_23)</f>
        <v>23</v>
      </c>
      <c r="B27" s="150"/>
      <c r="C27" s="150"/>
      <c r="D27" s="150"/>
      <c r="E27" s="150"/>
      <c r="F27" s="152"/>
      <c r="G27" s="152"/>
      <c r="H27" s="152"/>
      <c r="I27" s="152"/>
      <c r="J27" s="154"/>
      <c r="K27" s="154"/>
      <c r="L27" s="154"/>
      <c r="M27" s="154"/>
      <c r="N27" s="156"/>
      <c r="O27" s="156"/>
      <c r="P27" s="156"/>
      <c r="Q27" s="156"/>
      <c r="R27" s="158"/>
      <c r="S27" s="158"/>
      <c r="T27" s="158"/>
      <c r="U27" s="158"/>
      <c r="V27" s="160"/>
      <c r="W27" s="160"/>
      <c r="X27" s="160"/>
      <c r="Y27" s="160"/>
      <c r="Z27" s="79">
        <f t="shared" si="9"/>
      </c>
      <c r="AA27" s="79">
        <f t="shared" si="9"/>
      </c>
      <c r="AB27" s="79">
        <f t="shared" si="9"/>
      </c>
      <c r="AC27" s="79">
        <f t="shared" si="9"/>
      </c>
      <c r="AD27" s="126">
        <f>IF(AC27&lt;&gt;"",SUM(Z27:AC27),"")</f>
      </c>
      <c r="AE27" s="124">
        <f>IF(AD27&lt;&gt;"",'Scoring Accuracy'!H31/6+AD27,"")</f>
      </c>
    </row>
    <row r="28" spans="1:31" ht="12.75">
      <c r="A28" s="76">
        <f>IF(Exam_24=0,"",Exam_24)</f>
        <v>24</v>
      </c>
      <c r="B28" s="150"/>
      <c r="C28" s="150"/>
      <c r="D28" s="150"/>
      <c r="E28" s="150"/>
      <c r="F28" s="152"/>
      <c r="G28" s="152"/>
      <c r="H28" s="152"/>
      <c r="I28" s="152"/>
      <c r="J28" s="154"/>
      <c r="K28" s="154"/>
      <c r="L28" s="154"/>
      <c r="M28" s="154"/>
      <c r="N28" s="156"/>
      <c r="O28" s="156"/>
      <c r="P28" s="156"/>
      <c r="Q28" s="156"/>
      <c r="R28" s="158"/>
      <c r="S28" s="158"/>
      <c r="T28" s="158"/>
      <c r="U28" s="158"/>
      <c r="V28" s="160"/>
      <c r="W28" s="160"/>
      <c r="X28" s="160"/>
      <c r="Y28" s="160"/>
      <c r="Z28" s="79">
        <f t="shared" si="9"/>
      </c>
      <c r="AA28" s="79">
        <f t="shared" si="9"/>
      </c>
      <c r="AB28" s="79">
        <f t="shared" si="9"/>
      </c>
      <c r="AC28" s="79">
        <f t="shared" si="9"/>
      </c>
      <c r="AD28" s="126">
        <f>IF(AC28&lt;&gt;"",SUM(Z28:AC28),"")</f>
      </c>
      <c r="AE28" s="124">
        <f>IF(AD28&lt;&gt;"",'Scoring Accuracy'!H32/6+AD28,"")</f>
      </c>
    </row>
  </sheetData>
  <sheetProtection/>
  <mergeCells count="9">
    <mergeCell ref="Z3:AC3"/>
    <mergeCell ref="V3:Y3"/>
    <mergeCell ref="Z2:AC2"/>
    <mergeCell ref="B2:W2"/>
    <mergeCell ref="B3:E3"/>
    <mergeCell ref="F3:I3"/>
    <mergeCell ref="J3:M3"/>
    <mergeCell ref="N3:Q3"/>
    <mergeCell ref="R3:U3"/>
  </mergeCells>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dimension ref="A1:AF33"/>
  <sheetViews>
    <sheetView tabSelected="1" workbookViewId="0" topLeftCell="A1">
      <selection activeCell="AF10" sqref="AF10:AF21"/>
    </sheetView>
  </sheetViews>
  <sheetFormatPr defaultColWidth="10.75390625" defaultRowHeight="12.75"/>
  <cols>
    <col min="1" max="1" width="6.875" style="3" customWidth="1"/>
    <col min="2" max="7" width="3.25390625" style="3" customWidth="1"/>
    <col min="8" max="16" width="4.00390625" style="3" customWidth="1"/>
    <col min="17" max="18" width="4.375" style="3" customWidth="1"/>
    <col min="19" max="20" width="3.625" style="3" customWidth="1"/>
    <col min="21" max="28" width="4.375" style="3" customWidth="1"/>
    <col min="29" max="31" width="8.25390625" style="3" customWidth="1"/>
    <col min="32" max="16384" width="10.75390625" style="3" customWidth="1"/>
  </cols>
  <sheetData>
    <row r="1" ht="12.75">
      <c r="A1" s="2"/>
    </row>
    <row r="2" spans="2:16" ht="87.75" customHeight="1">
      <c r="B2" s="227"/>
      <c r="C2" s="227"/>
      <c r="D2" s="227"/>
      <c r="E2" s="227"/>
      <c r="F2" s="227"/>
      <c r="G2" s="227"/>
      <c r="H2" s="227"/>
      <c r="I2" s="227"/>
      <c r="J2" s="227"/>
      <c r="K2" s="227"/>
      <c r="L2" s="227"/>
      <c r="M2" s="227"/>
      <c r="N2" s="227"/>
      <c r="O2" s="227"/>
      <c r="P2" s="30"/>
    </row>
    <row r="3" spans="1:31" s="16" customFormat="1" ht="18" customHeight="1">
      <c r="A3" s="27" t="s">
        <v>43</v>
      </c>
      <c r="E3" s="236" t="s">
        <v>122</v>
      </c>
      <c r="F3" s="204"/>
      <c r="G3" s="204"/>
      <c r="H3" s="204"/>
      <c r="I3" s="204"/>
      <c r="J3" s="204"/>
      <c r="K3" s="204"/>
      <c r="L3" s="29"/>
      <c r="M3" s="234" t="s">
        <v>0</v>
      </c>
      <c r="N3" s="234"/>
      <c r="O3" s="235"/>
      <c r="P3" s="235"/>
      <c r="Q3" s="235"/>
      <c r="R3" s="235"/>
      <c r="S3" s="235"/>
      <c r="T3" s="28"/>
      <c r="U3" s="228" t="s">
        <v>111</v>
      </c>
      <c r="V3" s="228"/>
      <c r="W3" s="229"/>
      <c r="X3" s="229"/>
      <c r="Y3" s="229"/>
      <c r="Z3" s="31"/>
      <c r="AA3" s="15"/>
      <c r="AB3" s="15"/>
      <c r="AC3" s="209"/>
      <c r="AD3" s="210"/>
      <c r="AE3" s="211"/>
    </row>
    <row r="4" spans="1:31" s="16" customFormat="1" ht="15.75">
      <c r="A4" s="212" t="s">
        <v>1</v>
      </c>
      <c r="B4" s="235"/>
      <c r="C4" s="235"/>
      <c r="D4" s="235"/>
      <c r="E4" s="236" t="s">
        <v>124</v>
      </c>
      <c r="F4" s="204"/>
      <c r="G4" s="204"/>
      <c r="H4" s="204"/>
      <c r="I4" s="204"/>
      <c r="J4" s="204"/>
      <c r="K4" s="204"/>
      <c r="L4" s="29"/>
      <c r="M4" s="212" t="s">
        <v>3</v>
      </c>
      <c r="N4" s="213"/>
      <c r="O4" s="213"/>
      <c r="P4" s="213"/>
      <c r="Q4" s="213"/>
      <c r="R4" s="213"/>
      <c r="S4" s="213"/>
      <c r="T4" s="28"/>
      <c r="U4" s="134" t="s">
        <v>123</v>
      </c>
      <c r="V4" s="28"/>
      <c r="W4" s="6"/>
      <c r="X4" s="6"/>
      <c r="AC4" s="210"/>
      <c r="AD4" s="210"/>
      <c r="AE4" s="211"/>
    </row>
    <row r="5" spans="1:31" s="17" customFormat="1" ht="21" customHeight="1">
      <c r="A5" s="212" t="s">
        <v>2</v>
      </c>
      <c r="B5" s="235"/>
      <c r="C5" s="235"/>
      <c r="D5" s="235"/>
      <c r="E5" s="203" t="s">
        <v>125</v>
      </c>
      <c r="F5" s="204"/>
      <c r="G5" s="204"/>
      <c r="H5" s="204"/>
      <c r="I5" s="204"/>
      <c r="J5" s="204"/>
      <c r="K5" s="204"/>
      <c r="L5" s="204"/>
      <c r="M5" s="204"/>
      <c r="N5" s="204"/>
      <c r="O5" s="204"/>
      <c r="P5" s="204"/>
      <c r="Q5" s="204"/>
      <c r="R5" s="204"/>
      <c r="S5" s="204"/>
      <c r="T5" s="204"/>
      <c r="U5" s="204"/>
      <c r="V5" s="204"/>
      <c r="W5" s="204"/>
      <c r="X5" s="204"/>
      <c r="Y5" s="204"/>
      <c r="Z5" s="204"/>
      <c r="AA5" s="204"/>
      <c r="AB5" s="29"/>
      <c r="AC5" s="210"/>
      <c r="AD5" s="210"/>
      <c r="AE5" s="211"/>
    </row>
    <row r="6" spans="1:32" ht="36.75" customHeight="1">
      <c r="A6" s="4" t="s">
        <v>15</v>
      </c>
      <c r="B6" s="230" t="s">
        <v>50</v>
      </c>
      <c r="C6" s="231"/>
      <c r="D6" s="231"/>
      <c r="E6" s="231"/>
      <c r="F6" s="232"/>
      <c r="G6" s="233"/>
      <c r="H6" s="222" t="s">
        <v>45</v>
      </c>
      <c r="I6" s="223"/>
      <c r="J6" s="223"/>
      <c r="K6" s="223"/>
      <c r="L6" s="223"/>
      <c r="M6" s="223"/>
      <c r="N6" s="223"/>
      <c r="O6" s="223"/>
      <c r="P6" s="224"/>
      <c r="Q6" s="218" t="s">
        <v>55</v>
      </c>
      <c r="R6" s="219"/>
      <c r="S6" s="219"/>
      <c r="T6" s="219"/>
      <c r="U6" s="219"/>
      <c r="V6" s="219"/>
      <c r="W6" s="219"/>
      <c r="X6" s="219"/>
      <c r="Y6" s="219"/>
      <c r="Z6" s="219"/>
      <c r="AA6" s="220"/>
      <c r="AB6" s="221"/>
      <c r="AC6" s="214" t="s">
        <v>41</v>
      </c>
      <c r="AD6" s="216" t="s">
        <v>42</v>
      </c>
      <c r="AE6" s="207" t="s">
        <v>21</v>
      </c>
      <c r="AF6" s="205" t="s">
        <v>49</v>
      </c>
    </row>
    <row r="7" spans="1:32" ht="12.75">
      <c r="A7" s="5" t="s">
        <v>16</v>
      </c>
      <c r="B7" s="23">
        <v>1</v>
      </c>
      <c r="C7" s="23">
        <v>2</v>
      </c>
      <c r="D7" s="23">
        <v>3</v>
      </c>
      <c r="E7" s="23">
        <v>4</v>
      </c>
      <c r="F7" s="23">
        <v>5</v>
      </c>
      <c r="G7" s="23">
        <v>6</v>
      </c>
      <c r="H7" s="33" t="s">
        <v>19</v>
      </c>
      <c r="I7" s="225" t="s">
        <v>8</v>
      </c>
      <c r="J7" s="226"/>
      <c r="K7" s="225" t="s">
        <v>9</v>
      </c>
      <c r="L7" s="226"/>
      <c r="M7" s="225" t="s">
        <v>10</v>
      </c>
      <c r="N7" s="226"/>
      <c r="O7" s="225" t="s">
        <v>11</v>
      </c>
      <c r="P7" s="226"/>
      <c r="Q7" s="201" t="str">
        <f>BeerName1</f>
        <v>Style1</v>
      </c>
      <c r="R7" s="202"/>
      <c r="S7" s="201" t="str">
        <f>BeerName2</f>
        <v>Style2</v>
      </c>
      <c r="T7" s="202"/>
      <c r="U7" s="201" t="str">
        <f>BeerName3</f>
        <v>Style3</v>
      </c>
      <c r="V7" s="202"/>
      <c r="W7" s="201" t="str">
        <f>BeerName4</f>
        <v>Style4</v>
      </c>
      <c r="X7" s="202"/>
      <c r="Y7" s="201" t="str">
        <f>BeerName5</f>
        <v>Style5</v>
      </c>
      <c r="Z7" s="202"/>
      <c r="AA7" s="201" t="str">
        <f>BeerName6</f>
        <v>Style6</v>
      </c>
      <c r="AB7" s="202"/>
      <c r="AC7" s="215"/>
      <c r="AD7" s="217"/>
      <c r="AE7" s="208"/>
      <c r="AF7" s="206"/>
    </row>
    <row r="8" spans="1:32" ht="15.75">
      <c r="A8" s="43"/>
      <c r="B8" s="44"/>
      <c r="C8" s="44"/>
      <c r="D8" s="44"/>
      <c r="E8" s="44"/>
      <c r="F8" s="44"/>
      <c r="G8" s="44"/>
      <c r="H8" s="45"/>
      <c r="I8" s="46" t="s">
        <v>56</v>
      </c>
      <c r="J8" s="47" t="s">
        <v>57</v>
      </c>
      <c r="K8" s="46" t="s">
        <v>56</v>
      </c>
      <c r="L8" s="47" t="s">
        <v>57</v>
      </c>
      <c r="M8" s="46" t="s">
        <v>56</v>
      </c>
      <c r="N8" s="47" t="s">
        <v>57</v>
      </c>
      <c r="O8" s="46" t="s">
        <v>56</v>
      </c>
      <c r="P8" s="47" t="s">
        <v>57</v>
      </c>
      <c r="Q8" s="19" t="s">
        <v>56</v>
      </c>
      <c r="R8" s="21" t="s">
        <v>57</v>
      </c>
      <c r="S8" s="19" t="s">
        <v>56</v>
      </c>
      <c r="T8" s="21" t="s">
        <v>57</v>
      </c>
      <c r="U8" s="19" t="s">
        <v>56</v>
      </c>
      <c r="V8" s="21" t="s">
        <v>57</v>
      </c>
      <c r="W8" s="19" t="s">
        <v>56</v>
      </c>
      <c r="X8" s="21" t="s">
        <v>57</v>
      </c>
      <c r="Y8" s="19" t="s">
        <v>56</v>
      </c>
      <c r="Z8" s="21" t="s">
        <v>57</v>
      </c>
      <c r="AA8" s="19" t="s">
        <v>56</v>
      </c>
      <c r="AB8" s="21" t="s">
        <v>57</v>
      </c>
      <c r="AC8" s="53"/>
      <c r="AD8" s="48"/>
      <c r="AE8" s="49"/>
      <c r="AF8" s="42"/>
    </row>
    <row r="9" spans="1:32" ht="15" customHeight="1">
      <c r="A9" s="111" t="s">
        <v>17</v>
      </c>
      <c r="B9" s="24">
        <f>IF('Scoring Accuracy'!B8&lt;&gt;"",'Scoring Accuracy'!B8,"")</f>
      </c>
      <c r="C9" s="24">
        <f>IF('Scoring Accuracy'!C8&lt;&gt;"",'Scoring Accuracy'!C8,"")</f>
      </c>
      <c r="D9" s="24">
        <f>IF('Scoring Accuracy'!D8&lt;&gt;"",'Scoring Accuracy'!D8,"")</f>
      </c>
      <c r="E9" s="24">
        <f>IF('Scoring Accuracy'!E8&lt;&gt;"",'Scoring Accuracy'!E8,"")</f>
      </c>
      <c r="F9" s="24">
        <f>IF('Scoring Accuracy'!F8&lt;&gt;"",'Scoring Accuracy'!F8,"")</f>
      </c>
      <c r="G9" s="24">
        <f>IF('Scoring Accuracy'!G8&lt;&gt;"",'Scoring Accuracy'!G8,"")</f>
      </c>
      <c r="H9" s="26">
        <v>100</v>
      </c>
      <c r="I9" s="19">
        <v>100</v>
      </c>
      <c r="J9" s="21">
        <v>100</v>
      </c>
      <c r="K9" s="19">
        <v>100</v>
      </c>
      <c r="L9" s="21">
        <v>100</v>
      </c>
      <c r="M9" s="19">
        <v>100</v>
      </c>
      <c r="N9" s="21">
        <v>100</v>
      </c>
      <c r="O9" s="19">
        <v>100</v>
      </c>
      <c r="P9" s="21">
        <v>100</v>
      </c>
      <c r="Q9" s="19">
        <v>100</v>
      </c>
      <c r="R9" s="21">
        <v>100</v>
      </c>
      <c r="S9" s="19">
        <v>100</v>
      </c>
      <c r="T9" s="21">
        <v>100</v>
      </c>
      <c r="U9" s="19">
        <v>100</v>
      </c>
      <c r="V9" s="21">
        <v>100</v>
      </c>
      <c r="W9" s="19">
        <v>100</v>
      </c>
      <c r="X9" s="21">
        <v>100</v>
      </c>
      <c r="Y9" s="19">
        <v>100</v>
      </c>
      <c r="Z9" s="21">
        <v>100</v>
      </c>
      <c r="AA9" s="19">
        <v>100</v>
      </c>
      <c r="AB9" s="21">
        <v>100</v>
      </c>
      <c r="AC9" s="35">
        <v>100</v>
      </c>
      <c r="AD9" s="21">
        <v>100</v>
      </c>
      <c r="AE9" s="40">
        <v>100</v>
      </c>
      <c r="AF9" s="39">
        <v>100</v>
      </c>
    </row>
    <row r="10" spans="1:32" s="8" customFormat="1" ht="12.75">
      <c r="A10" s="109">
        <v>1</v>
      </c>
      <c r="B10" s="25">
        <f>IF('Scoring Accuracy'!B9&lt;&gt;"",'Scoring Accuracy'!B9,"")</f>
      </c>
      <c r="C10" s="25">
        <f>IF('Scoring Accuracy'!C9&lt;&gt;"",'Scoring Accuracy'!C9,"")</f>
      </c>
      <c r="D10" s="25">
        <f>IF('Scoring Accuracy'!D9&lt;&gt;"",'Scoring Accuracy'!D9,"")</f>
      </c>
      <c r="E10" s="25">
        <f>IF('Scoring Accuracy'!E9&lt;&gt;"",'Scoring Accuracy'!E9,"")</f>
      </c>
      <c r="F10" s="25">
        <f>IF('Scoring Accuracy'!F9&lt;&gt;"",'Scoring Accuracy'!F9,"")</f>
      </c>
      <c r="G10" s="25">
        <f>IF('Scoring Accuracy'!G9&lt;&gt;"",'Scoring Accuracy'!G9,"")</f>
      </c>
      <c r="H10" s="34">
        <f>IF('Scoring Accuracy'!I9&lt;&gt;"",'Scoring Accuracy'!I9,"")</f>
      </c>
      <c r="I10" s="20">
        <f>IF('G1-Taste'!Z5&lt;&gt;"",'G1-Taste'!Z5*5,"")</f>
      </c>
      <c r="J10" s="22">
        <f>IF('G2-Taste'!Z5&lt;&gt;"",'G2-Taste'!Z5*5,"")</f>
      </c>
      <c r="K10" s="20">
        <f>IF('G1-Taste'!AA5&lt;&gt;"",'G1-Taste'!AA5*5,"")</f>
      </c>
      <c r="L10" s="22">
        <f>IF('G2-Taste'!AA5&lt;&gt;"",'G2-Taste'!AA5*5,"")</f>
      </c>
      <c r="M10" s="20">
        <f>IF('G1-Taste'!AB5&lt;&gt;"",'G1-Taste'!AB5*5,"")</f>
      </c>
      <c r="N10" s="22">
        <f>IF('G2-Taste'!AB5&lt;&gt;"",'G2-Taste'!AB5*5,"")</f>
      </c>
      <c r="O10" s="20">
        <f>IF('G1-Taste'!AC5&lt;&gt;"",'G1-Taste'!AC5*5,"")</f>
      </c>
      <c r="P10" s="22">
        <f>IF('G2-Taste'!AC5&lt;&gt;"",'G2-Taste'!AC5*5,"")</f>
      </c>
      <c r="Q10" s="20">
        <f>IF('Scoring Accuracy'!$H9&lt;&gt;"",'Scoring Accuracy'!P9+SUM('G1-Taste'!B5:E5),"")</f>
      </c>
      <c r="R10" s="22">
        <f>IF('Scoring Accuracy'!$H9&lt;&gt;"",'Scoring Accuracy'!P9+SUM('G2-Taste'!B5:E5),"")</f>
      </c>
      <c r="S10" s="20">
        <f>IF('Scoring Accuracy'!$H9&lt;&gt;"",'Scoring Accuracy'!Q9+SUM('G1-Taste'!F5:I5),"")</f>
      </c>
      <c r="T10" s="22">
        <f>IF('Scoring Accuracy'!$H9&lt;&gt;"",'Scoring Accuracy'!Q9+SUM('G2-Taste'!F5:I5),"")</f>
      </c>
      <c r="U10" s="20">
        <f>IF('Scoring Accuracy'!$H9&lt;&gt;"",'Scoring Accuracy'!R9+SUM('G1-Taste'!J5:M5),"")</f>
      </c>
      <c r="V10" s="22">
        <f>IF('Scoring Accuracy'!$H9&lt;&gt;"",'Scoring Accuracy'!R9+SUM('G2-Taste'!J5:M5),"")</f>
      </c>
      <c r="W10" s="20">
        <f>IF('Scoring Accuracy'!$H9&lt;&gt;"",'Scoring Accuracy'!S9+SUM('G1-Taste'!N5:Q5),"")</f>
      </c>
      <c r="X10" s="22">
        <f>IF('Scoring Accuracy'!$H9&lt;&gt;"",'Scoring Accuracy'!S9+SUM('G2-Taste'!N5:Q5),"")</f>
      </c>
      <c r="Y10" s="20">
        <f>IF('Scoring Accuracy'!$H9&lt;&gt;"",'Scoring Accuracy'!T9+SUM('G1-Taste'!R5:U5),"")</f>
      </c>
      <c r="Z10" s="22">
        <f>IF('Scoring Accuracy'!$H9&lt;&gt;"",'Scoring Accuracy'!T9+SUM('G2-Taste'!R5:U5),"")</f>
      </c>
      <c r="AA10" s="20">
        <f>IF('Scoring Accuracy'!$H9&lt;&gt;"",'Scoring Accuracy'!U9+SUM('G1-Taste'!V5:Y5),"")</f>
      </c>
      <c r="AB10" s="32">
        <f>IF('Scoring Accuracy'!$H9&lt;&gt;"",'Scoring Accuracy'!U9+SUM('G2-Taste'!V5:Y5),"")</f>
      </c>
      <c r="AC10" s="36">
        <f>IF('G1-Taste'!AC5&lt;&gt;"",'G1-Taste'!AD5+H10/5,"")</f>
      </c>
      <c r="AD10" s="37">
        <f>IF('G2-Taste'!AD5&lt;&gt;"",'G2-Taste'!AD5+H10/5,"")</f>
      </c>
      <c r="AE10" s="41">
        <f aca="true" t="shared" si="0" ref="AE10:AE29">IF(G10&lt;&gt;"",AVERAGE(AC10:AD10),"")</f>
      </c>
      <c r="AF10" s="34"/>
    </row>
    <row r="11" spans="1:32" s="8" customFormat="1" ht="12.75">
      <c r="A11" s="109">
        <v>2</v>
      </c>
      <c r="B11" s="25">
        <f>IF('Scoring Accuracy'!B10&lt;&gt;"",'Scoring Accuracy'!B10,"")</f>
      </c>
      <c r="C11" s="25">
        <f>IF('Scoring Accuracy'!C10&lt;&gt;"",'Scoring Accuracy'!C10,"")</f>
      </c>
      <c r="D11" s="25">
        <f>IF('Scoring Accuracy'!D10&lt;&gt;"",'Scoring Accuracy'!D10,"")</f>
      </c>
      <c r="E11" s="25">
        <f>IF('Scoring Accuracy'!E10&lt;&gt;"",'Scoring Accuracy'!E10,"")</f>
      </c>
      <c r="F11" s="25">
        <f>IF('Scoring Accuracy'!F10&lt;&gt;"",'Scoring Accuracy'!F10,"")</f>
      </c>
      <c r="G11" s="25">
        <f>IF('Scoring Accuracy'!G10&lt;&gt;"",'Scoring Accuracy'!G10,"")</f>
      </c>
      <c r="H11" s="34">
        <f>IF('Scoring Accuracy'!I10&lt;&gt;"",'Scoring Accuracy'!I10,"")</f>
      </c>
      <c r="I11" s="20">
        <f>IF('G1-Taste'!Z6&lt;&gt;"",'G1-Taste'!Z6*5,"")</f>
      </c>
      <c r="J11" s="22">
        <f>IF('G2-Taste'!Z6&lt;&gt;"",'G2-Taste'!Z6*5,"")</f>
      </c>
      <c r="K11" s="20">
        <f>IF('G1-Taste'!AA6&lt;&gt;"",'G1-Taste'!AA6*5,"")</f>
      </c>
      <c r="L11" s="22">
        <f>IF('G2-Taste'!AA6&lt;&gt;"",'G2-Taste'!AA6*5,"")</f>
      </c>
      <c r="M11" s="20">
        <f>IF('G1-Taste'!AB6&lt;&gt;"",'G1-Taste'!AB6*5,"")</f>
      </c>
      <c r="N11" s="22">
        <f>IF('G2-Taste'!AB6&lt;&gt;"",'G2-Taste'!AB6*5,"")</f>
      </c>
      <c r="O11" s="20">
        <f>IF('G1-Taste'!AC6&lt;&gt;"",'G1-Taste'!AC6*5,"")</f>
      </c>
      <c r="P11" s="22">
        <f>IF('G2-Taste'!AC6&lt;&gt;"",'G2-Taste'!AC6*5,"")</f>
      </c>
      <c r="Q11" s="20">
        <f>IF('Scoring Accuracy'!$H10&lt;&gt;"",'Scoring Accuracy'!P10+SUM('G1-Taste'!B6:E6),"")</f>
      </c>
      <c r="R11" s="22">
        <f>IF('Scoring Accuracy'!$H10&lt;&gt;"",'Scoring Accuracy'!P10+SUM('G2-Taste'!B6:E6),"")</f>
      </c>
      <c r="S11" s="20">
        <f>IF('Scoring Accuracy'!$H10&lt;&gt;"",'Scoring Accuracy'!Q10+SUM('G1-Taste'!F6:I6),"")</f>
      </c>
      <c r="T11" s="22">
        <f>IF('Scoring Accuracy'!$H10&lt;&gt;"",'Scoring Accuracy'!Q10+SUM('G2-Taste'!F6:I6),"")</f>
      </c>
      <c r="U11" s="20">
        <f>IF('Scoring Accuracy'!$H10&lt;&gt;"",'Scoring Accuracy'!R10+SUM('G1-Taste'!J6:M6),"")</f>
      </c>
      <c r="V11" s="22">
        <f>IF('Scoring Accuracy'!$H10&lt;&gt;"",'Scoring Accuracy'!R10+SUM('G2-Taste'!J6:M6),"")</f>
      </c>
      <c r="W11" s="20">
        <f>IF('Scoring Accuracy'!$H10&lt;&gt;"",'Scoring Accuracy'!S10+SUM('G1-Taste'!N6:Q6),"")</f>
      </c>
      <c r="X11" s="22">
        <f>IF('Scoring Accuracy'!$H10&lt;&gt;"",'Scoring Accuracy'!S10+SUM('G2-Taste'!N6:Q6),"")</f>
      </c>
      <c r="Y11" s="20">
        <f>IF('Scoring Accuracy'!$H10&lt;&gt;"",'Scoring Accuracy'!T10+SUM('G1-Taste'!R6:U6),"")</f>
      </c>
      <c r="Z11" s="22">
        <f>IF('Scoring Accuracy'!$H10&lt;&gt;"",'Scoring Accuracy'!T10+SUM('G2-Taste'!R6:U6),"")</f>
      </c>
      <c r="AA11" s="20">
        <f>IF('Scoring Accuracy'!$H10&lt;&gt;"",'Scoring Accuracy'!U10+SUM('G1-Taste'!V6:Y6),"")</f>
      </c>
      <c r="AB11" s="32">
        <f>IF('Scoring Accuracy'!$H10&lt;&gt;"",'Scoring Accuracy'!U10+SUM('G2-Taste'!V6:Y6),"")</f>
      </c>
      <c r="AC11" s="36">
        <f>IF('G1-Taste'!AC6&lt;&gt;"",'G1-Taste'!AD6+H11/5,"")</f>
      </c>
      <c r="AD11" s="37">
        <f>IF('G2-Taste'!AD6&lt;&gt;"",'G2-Taste'!AD6+H11/5,"")</f>
      </c>
      <c r="AE11" s="41">
        <f t="shared" si="0"/>
      </c>
      <c r="AF11" s="34"/>
    </row>
    <row r="12" spans="1:32" s="8" customFormat="1" ht="12.75">
      <c r="A12" s="109">
        <v>3</v>
      </c>
      <c r="B12" s="25">
        <f>IF('Scoring Accuracy'!B11&lt;&gt;"",'Scoring Accuracy'!B11,"")</f>
      </c>
      <c r="C12" s="25">
        <f>IF('Scoring Accuracy'!C11&lt;&gt;"",'Scoring Accuracy'!C11,"")</f>
      </c>
      <c r="D12" s="25">
        <f>IF('Scoring Accuracy'!D11&lt;&gt;"",'Scoring Accuracy'!D11,"")</f>
      </c>
      <c r="E12" s="25">
        <f>IF('Scoring Accuracy'!E11&lt;&gt;"",'Scoring Accuracy'!E11,"")</f>
      </c>
      <c r="F12" s="25">
        <f>IF('Scoring Accuracy'!F11&lt;&gt;"",'Scoring Accuracy'!F11,"")</f>
      </c>
      <c r="G12" s="25">
        <f>IF('Scoring Accuracy'!G11&lt;&gt;"",'Scoring Accuracy'!G11,"")</f>
      </c>
      <c r="H12" s="34">
        <f>IF('Scoring Accuracy'!I11&lt;&gt;"",'Scoring Accuracy'!I11,"")</f>
      </c>
      <c r="I12" s="20">
        <f>IF('G1-Taste'!Z7&lt;&gt;"",'G1-Taste'!Z7*5,"")</f>
      </c>
      <c r="J12" s="22">
        <f>IF('G2-Taste'!Z7&lt;&gt;"",'G2-Taste'!Z7*5,"")</f>
      </c>
      <c r="K12" s="20">
        <f>IF('G1-Taste'!AA7&lt;&gt;"",'G1-Taste'!AA7*5,"")</f>
      </c>
      <c r="L12" s="22">
        <f>IF('G2-Taste'!AA7&lt;&gt;"",'G2-Taste'!AA7*5,"")</f>
      </c>
      <c r="M12" s="20">
        <f>IF('G1-Taste'!AB7&lt;&gt;"",'G1-Taste'!AB7*5,"")</f>
      </c>
      <c r="N12" s="22">
        <f>IF('G2-Taste'!AB7&lt;&gt;"",'G2-Taste'!AB7*5,"")</f>
      </c>
      <c r="O12" s="20">
        <f>IF('G1-Taste'!AC7&lt;&gt;"",'G1-Taste'!AC7*5,"")</f>
      </c>
      <c r="P12" s="22">
        <f>IF('G2-Taste'!AC7&lt;&gt;"",'G2-Taste'!AC7*5,"")</f>
      </c>
      <c r="Q12" s="20">
        <f>IF('Scoring Accuracy'!$H11&lt;&gt;"",'Scoring Accuracy'!P11+SUM('G1-Taste'!B7:E7),"")</f>
      </c>
      <c r="R12" s="22">
        <f>IF('Scoring Accuracy'!$H11&lt;&gt;"",'Scoring Accuracy'!P11+SUM('G2-Taste'!B7:E7),"")</f>
      </c>
      <c r="S12" s="20">
        <f>IF('Scoring Accuracy'!$H11&lt;&gt;"",'Scoring Accuracy'!Q11+SUM('G1-Taste'!F7:I7),"")</f>
      </c>
      <c r="T12" s="22">
        <f>IF('Scoring Accuracy'!$H11&lt;&gt;"",'Scoring Accuracy'!Q11+SUM('G2-Taste'!F7:I7),"")</f>
      </c>
      <c r="U12" s="20">
        <f>IF('Scoring Accuracy'!$H11&lt;&gt;"",'Scoring Accuracy'!R11+SUM('G1-Taste'!J7:M7),"")</f>
      </c>
      <c r="V12" s="22">
        <f>IF('Scoring Accuracy'!$H11&lt;&gt;"",'Scoring Accuracy'!R11+SUM('G2-Taste'!J7:M7),"")</f>
      </c>
      <c r="W12" s="20">
        <f>IF('Scoring Accuracy'!$H11&lt;&gt;"",'Scoring Accuracy'!S11+SUM('G1-Taste'!N7:Q7),"")</f>
      </c>
      <c r="X12" s="22">
        <f>IF('Scoring Accuracy'!$H11&lt;&gt;"",'Scoring Accuracy'!S11+SUM('G2-Taste'!N7:Q7),"")</f>
      </c>
      <c r="Y12" s="20">
        <f>IF('Scoring Accuracy'!$H11&lt;&gt;"",'Scoring Accuracy'!T11+SUM('G1-Taste'!R7:U7),"")</f>
      </c>
      <c r="Z12" s="22">
        <f>IF('Scoring Accuracy'!$H11&lt;&gt;"",'Scoring Accuracy'!T11+SUM('G2-Taste'!R7:U7),"")</f>
      </c>
      <c r="AA12" s="20">
        <f>IF('Scoring Accuracy'!$H11&lt;&gt;"",'Scoring Accuracy'!U11+SUM('G1-Taste'!V7:Y7),"")</f>
      </c>
      <c r="AB12" s="32">
        <f>IF('Scoring Accuracy'!$H11&lt;&gt;"",'Scoring Accuracy'!U11+SUM('G2-Taste'!V7:Y7),"")</f>
      </c>
      <c r="AC12" s="36">
        <f>IF('G1-Taste'!AC7&lt;&gt;"",'G1-Taste'!AD7+H12/5,"")</f>
      </c>
      <c r="AD12" s="37">
        <f>IF('G2-Taste'!AD7&lt;&gt;"",'G2-Taste'!AD7+H12/5,"")</f>
      </c>
      <c r="AE12" s="41">
        <f t="shared" si="0"/>
      </c>
      <c r="AF12" s="34"/>
    </row>
    <row r="13" spans="1:32" s="8" customFormat="1" ht="12.75">
      <c r="A13" s="109">
        <v>4</v>
      </c>
      <c r="B13" s="25">
        <f>IF('Scoring Accuracy'!B12&lt;&gt;"",'Scoring Accuracy'!B12,"")</f>
      </c>
      <c r="C13" s="25">
        <f>IF('Scoring Accuracy'!C12&lt;&gt;"",'Scoring Accuracy'!C12,"")</f>
      </c>
      <c r="D13" s="25">
        <f>IF('Scoring Accuracy'!D12&lt;&gt;"",'Scoring Accuracy'!D12,"")</f>
      </c>
      <c r="E13" s="25">
        <f>IF('Scoring Accuracy'!E12&lt;&gt;"",'Scoring Accuracy'!E12,"")</f>
      </c>
      <c r="F13" s="25">
        <f>IF('Scoring Accuracy'!F12&lt;&gt;"",'Scoring Accuracy'!F12,"")</f>
      </c>
      <c r="G13" s="25">
        <f>IF('Scoring Accuracy'!G12&lt;&gt;"",'Scoring Accuracy'!G12,"")</f>
      </c>
      <c r="H13" s="34">
        <f>IF('Scoring Accuracy'!I12&lt;&gt;"",'Scoring Accuracy'!I12,"")</f>
      </c>
      <c r="I13" s="20">
        <f>IF('G1-Taste'!Z8&lt;&gt;"",'G1-Taste'!Z8*5,"")</f>
      </c>
      <c r="J13" s="22">
        <f>IF('G2-Taste'!Z8&lt;&gt;"",'G2-Taste'!Z8*5,"")</f>
      </c>
      <c r="K13" s="20">
        <f>IF('G1-Taste'!AA8&lt;&gt;"",'G1-Taste'!AA8*5,"")</f>
      </c>
      <c r="L13" s="22">
        <f>IF('G2-Taste'!AA8&lt;&gt;"",'G2-Taste'!AA8*5,"")</f>
      </c>
      <c r="M13" s="20">
        <f>IF('G1-Taste'!AB8&lt;&gt;"",'G1-Taste'!AB8*5,"")</f>
      </c>
      <c r="N13" s="22">
        <f>IF('G2-Taste'!AB8&lt;&gt;"",'G2-Taste'!AB8*5,"")</f>
      </c>
      <c r="O13" s="20">
        <f>IF('G1-Taste'!AC8&lt;&gt;"",'G1-Taste'!AC8*5,"")</f>
      </c>
      <c r="P13" s="22">
        <f>IF('G2-Taste'!AC8&lt;&gt;"",'G2-Taste'!AC8*5,"")</f>
      </c>
      <c r="Q13" s="20">
        <f>IF('Scoring Accuracy'!$H12&lt;&gt;"",'Scoring Accuracy'!P12+SUM('G1-Taste'!B8:E8),"")</f>
      </c>
      <c r="R13" s="22">
        <f>IF('Scoring Accuracy'!$H12&lt;&gt;"",'Scoring Accuracy'!P12+SUM('G2-Taste'!B8:E8),"")</f>
      </c>
      <c r="S13" s="20">
        <f>IF('Scoring Accuracy'!$H12&lt;&gt;"",'Scoring Accuracy'!Q12+SUM('G1-Taste'!F8:I8),"")</f>
      </c>
      <c r="T13" s="22">
        <f>IF('Scoring Accuracy'!$H12&lt;&gt;"",'Scoring Accuracy'!Q12+SUM('G2-Taste'!F8:I8),"")</f>
      </c>
      <c r="U13" s="20">
        <f>IF('Scoring Accuracy'!$H12&lt;&gt;"",'Scoring Accuracy'!R12+SUM('G1-Taste'!J8:M8),"")</f>
      </c>
      <c r="V13" s="22">
        <f>IF('Scoring Accuracy'!$H12&lt;&gt;"",'Scoring Accuracy'!R12+SUM('G2-Taste'!J8:M8),"")</f>
      </c>
      <c r="W13" s="20">
        <f>IF('Scoring Accuracy'!$H12&lt;&gt;"",'Scoring Accuracy'!S12+SUM('G1-Taste'!N8:Q8),"")</f>
      </c>
      <c r="X13" s="22">
        <f>IF('Scoring Accuracy'!$H12&lt;&gt;"",'Scoring Accuracy'!S12+SUM('G2-Taste'!N8:Q8),"")</f>
      </c>
      <c r="Y13" s="20">
        <f>IF('Scoring Accuracy'!$H12&lt;&gt;"",'Scoring Accuracy'!T12+SUM('G1-Taste'!R8:U8),"")</f>
      </c>
      <c r="Z13" s="22">
        <f>IF('Scoring Accuracy'!$H12&lt;&gt;"",'Scoring Accuracy'!T12+SUM('G2-Taste'!R8:U8),"")</f>
      </c>
      <c r="AA13" s="20">
        <f>IF('Scoring Accuracy'!$H12&lt;&gt;"",'Scoring Accuracy'!U12+SUM('G1-Taste'!V8:Y8),"")</f>
      </c>
      <c r="AB13" s="32">
        <f>IF('Scoring Accuracy'!$H12&lt;&gt;"",'Scoring Accuracy'!U12+SUM('G2-Taste'!V8:Y8),"")</f>
      </c>
      <c r="AC13" s="36">
        <f>IF('G1-Taste'!AC8&lt;&gt;"",'G1-Taste'!AD8+H13/5,"")</f>
      </c>
      <c r="AD13" s="37">
        <f>IF('G2-Taste'!AD8&lt;&gt;"",'G2-Taste'!AD8+H13/5,"")</f>
      </c>
      <c r="AE13" s="41">
        <f t="shared" si="0"/>
      </c>
      <c r="AF13" s="34"/>
    </row>
    <row r="14" spans="1:32" s="8" customFormat="1" ht="12.75">
      <c r="A14" s="109">
        <v>5</v>
      </c>
      <c r="B14" s="25">
        <f>IF('Scoring Accuracy'!B13&lt;&gt;"",'Scoring Accuracy'!B13,"")</f>
      </c>
      <c r="C14" s="25">
        <f>IF('Scoring Accuracy'!C13&lt;&gt;"",'Scoring Accuracy'!C13,"")</f>
      </c>
      <c r="D14" s="25">
        <f>IF('Scoring Accuracy'!D13&lt;&gt;"",'Scoring Accuracy'!D13,"")</f>
      </c>
      <c r="E14" s="25">
        <f>IF('Scoring Accuracy'!E13&lt;&gt;"",'Scoring Accuracy'!E13,"")</f>
      </c>
      <c r="F14" s="25">
        <f>IF('Scoring Accuracy'!F13&lt;&gt;"",'Scoring Accuracy'!F13,"")</f>
      </c>
      <c r="G14" s="25">
        <f>IF('Scoring Accuracy'!G13&lt;&gt;"",'Scoring Accuracy'!G13,"")</f>
      </c>
      <c r="H14" s="34">
        <f>IF('Scoring Accuracy'!I13&lt;&gt;"",'Scoring Accuracy'!I13,"")</f>
      </c>
      <c r="I14" s="20">
        <f>IF('G1-Taste'!Z9&lt;&gt;"",'G1-Taste'!Z9*5,"")</f>
      </c>
      <c r="J14" s="22">
        <f>IF('G2-Taste'!Z9&lt;&gt;"",'G2-Taste'!Z9*5,"")</f>
      </c>
      <c r="K14" s="20">
        <f>IF('G1-Taste'!AA9&lt;&gt;"",'G1-Taste'!AA9*5,"")</f>
      </c>
      <c r="L14" s="22">
        <f>IF('G2-Taste'!AA9&lt;&gt;"",'G2-Taste'!AA9*5,"")</f>
      </c>
      <c r="M14" s="20">
        <f>IF('G1-Taste'!AB9&lt;&gt;"",'G1-Taste'!AB9*5,"")</f>
      </c>
      <c r="N14" s="22">
        <f>IF('G2-Taste'!AB9&lt;&gt;"",'G2-Taste'!AB9*5,"")</f>
      </c>
      <c r="O14" s="20">
        <f>IF('G1-Taste'!AC9&lt;&gt;"",'G1-Taste'!AC9*5,"")</f>
      </c>
      <c r="P14" s="22">
        <f>IF('G2-Taste'!AC9&lt;&gt;"",'G2-Taste'!AC9*5,"")</f>
      </c>
      <c r="Q14" s="20">
        <f>IF('Scoring Accuracy'!$H13&lt;&gt;"",'Scoring Accuracy'!P13+SUM('G1-Taste'!B9:E9),"")</f>
      </c>
      <c r="R14" s="22">
        <f>IF('Scoring Accuracy'!$H13&lt;&gt;"",'Scoring Accuracy'!P13+SUM('G2-Taste'!B9:E9),"")</f>
      </c>
      <c r="S14" s="20">
        <f>IF('Scoring Accuracy'!$H13&lt;&gt;"",'Scoring Accuracy'!Q13+SUM('G1-Taste'!F9:I9),"")</f>
      </c>
      <c r="T14" s="22">
        <f>IF('Scoring Accuracy'!$H13&lt;&gt;"",'Scoring Accuracy'!Q13+SUM('G2-Taste'!F9:I9),"")</f>
      </c>
      <c r="U14" s="20">
        <f>IF('Scoring Accuracy'!$H13&lt;&gt;"",'Scoring Accuracy'!R13+SUM('G1-Taste'!J9:M9),"")</f>
      </c>
      <c r="V14" s="22">
        <f>IF('Scoring Accuracy'!$H13&lt;&gt;"",'Scoring Accuracy'!R13+SUM('G2-Taste'!J9:M9),"")</f>
      </c>
      <c r="W14" s="20">
        <f>IF('Scoring Accuracy'!$H13&lt;&gt;"",'Scoring Accuracy'!S13+SUM('G1-Taste'!N9:Q9),"")</f>
      </c>
      <c r="X14" s="22">
        <f>IF('Scoring Accuracy'!$H13&lt;&gt;"",'Scoring Accuracy'!S13+SUM('G2-Taste'!N9:Q9),"")</f>
      </c>
      <c r="Y14" s="20">
        <f>IF('Scoring Accuracy'!$H13&lt;&gt;"",'Scoring Accuracy'!T13+SUM('G1-Taste'!R9:U9),"")</f>
      </c>
      <c r="Z14" s="22">
        <f>IF('Scoring Accuracy'!$H13&lt;&gt;"",'Scoring Accuracy'!T13+SUM('G2-Taste'!R9:U9),"")</f>
      </c>
      <c r="AA14" s="20">
        <f>IF('Scoring Accuracy'!$H13&lt;&gt;"",'Scoring Accuracy'!U13+SUM('G1-Taste'!V9:Y9),"")</f>
      </c>
      <c r="AB14" s="32">
        <f>IF('Scoring Accuracy'!$H13&lt;&gt;"",'Scoring Accuracy'!U13+SUM('G2-Taste'!V9:Y9),"")</f>
      </c>
      <c r="AC14" s="36">
        <f>IF('G1-Taste'!AC9&lt;&gt;"",'G1-Taste'!AD9+H14/5,"")</f>
      </c>
      <c r="AD14" s="37">
        <f>IF('G2-Taste'!AD9&lt;&gt;"",'G2-Taste'!AD9+H14/5,"")</f>
      </c>
      <c r="AE14" s="41">
        <f t="shared" si="0"/>
      </c>
      <c r="AF14" s="34"/>
    </row>
    <row r="15" spans="1:32" s="8" customFormat="1" ht="12.75">
      <c r="A15" s="109">
        <v>6</v>
      </c>
      <c r="B15" s="25">
        <f>IF('Scoring Accuracy'!B14&lt;&gt;"",'Scoring Accuracy'!B14,"")</f>
      </c>
      <c r="C15" s="25">
        <f>IF('Scoring Accuracy'!C14&lt;&gt;"",'Scoring Accuracy'!C14,"")</f>
      </c>
      <c r="D15" s="25">
        <f>IF('Scoring Accuracy'!D14&lt;&gt;"",'Scoring Accuracy'!D14,"")</f>
      </c>
      <c r="E15" s="25">
        <f>IF('Scoring Accuracy'!E14&lt;&gt;"",'Scoring Accuracy'!E14,"")</f>
      </c>
      <c r="F15" s="25">
        <f>IF('Scoring Accuracy'!F14&lt;&gt;"",'Scoring Accuracy'!F14,"")</f>
      </c>
      <c r="G15" s="25">
        <f>IF('Scoring Accuracy'!G14&lt;&gt;"",'Scoring Accuracy'!G14,"")</f>
      </c>
      <c r="H15" s="34">
        <f>IF('Scoring Accuracy'!I14&lt;&gt;"",'Scoring Accuracy'!I14,"")</f>
      </c>
      <c r="I15" s="20">
        <f>IF('G1-Taste'!Z10&lt;&gt;"",'G1-Taste'!Z10*5,"")</f>
      </c>
      <c r="J15" s="22">
        <f>IF('G2-Taste'!Z10&lt;&gt;"",'G2-Taste'!Z10*5,"")</f>
      </c>
      <c r="K15" s="20">
        <f>IF('G1-Taste'!AA10&lt;&gt;"",'G1-Taste'!AA10*5,"")</f>
      </c>
      <c r="L15" s="22">
        <f>IF('G2-Taste'!AA10&lt;&gt;"",'G2-Taste'!AA10*5,"")</f>
      </c>
      <c r="M15" s="20">
        <f>IF('G1-Taste'!AB10&lt;&gt;"",'G1-Taste'!AB10*5,"")</f>
      </c>
      <c r="N15" s="22">
        <f>IF('G2-Taste'!AB10&lt;&gt;"",'G2-Taste'!AB10*5,"")</f>
      </c>
      <c r="O15" s="20">
        <f>IF('G1-Taste'!AC10&lt;&gt;"",'G1-Taste'!AC10*5,"")</f>
      </c>
      <c r="P15" s="22">
        <f>IF('G2-Taste'!AC10&lt;&gt;"",'G2-Taste'!AC10*5,"")</f>
      </c>
      <c r="Q15" s="20">
        <f>IF('Scoring Accuracy'!$H14&lt;&gt;"",'Scoring Accuracy'!P14+SUM('G1-Taste'!B10:E10),"")</f>
      </c>
      <c r="R15" s="22">
        <f>IF('Scoring Accuracy'!$H14&lt;&gt;"",'Scoring Accuracy'!P14+SUM('G2-Taste'!B10:E10),"")</f>
      </c>
      <c r="S15" s="20">
        <f>IF('Scoring Accuracy'!$H14&lt;&gt;"",'Scoring Accuracy'!Q14+SUM('G1-Taste'!F10:I10),"")</f>
      </c>
      <c r="T15" s="22">
        <f>IF('Scoring Accuracy'!$H14&lt;&gt;"",'Scoring Accuracy'!Q14+SUM('G2-Taste'!F10:I10),"")</f>
      </c>
      <c r="U15" s="20">
        <f>IF('Scoring Accuracy'!$H14&lt;&gt;"",'Scoring Accuracy'!R14+SUM('G1-Taste'!J10:M10),"")</f>
      </c>
      <c r="V15" s="22">
        <f>IF('Scoring Accuracy'!$H14&lt;&gt;"",'Scoring Accuracy'!R14+SUM('G2-Taste'!J10:M10),"")</f>
      </c>
      <c r="W15" s="20">
        <f>IF('Scoring Accuracy'!$H14&lt;&gt;"",'Scoring Accuracy'!S14+SUM('G1-Taste'!N10:Q10),"")</f>
      </c>
      <c r="X15" s="22">
        <f>IF('Scoring Accuracy'!$H14&lt;&gt;"",'Scoring Accuracy'!S14+SUM('G2-Taste'!N10:Q10),"")</f>
      </c>
      <c r="Y15" s="20">
        <f>IF('Scoring Accuracy'!$H14&lt;&gt;"",'Scoring Accuracy'!T14+SUM('G1-Taste'!R10:U10),"")</f>
      </c>
      <c r="Z15" s="22">
        <f>IF('Scoring Accuracy'!$H14&lt;&gt;"",'Scoring Accuracy'!T14+SUM('G2-Taste'!R10:U10),"")</f>
      </c>
      <c r="AA15" s="20">
        <f>IF('Scoring Accuracy'!$H14&lt;&gt;"",'Scoring Accuracy'!U14+SUM('G1-Taste'!V10:Y10),"")</f>
      </c>
      <c r="AB15" s="32">
        <f>IF('Scoring Accuracy'!$H14&lt;&gt;"",'Scoring Accuracy'!U14+SUM('G2-Taste'!V10:Y10),"")</f>
      </c>
      <c r="AC15" s="36">
        <f>IF('G1-Taste'!AC10&lt;&gt;"",'G1-Taste'!AD10+H15/5,"")</f>
      </c>
      <c r="AD15" s="37">
        <f>IF('G2-Taste'!AD10&lt;&gt;"",'G2-Taste'!AD10+H15/5,"")</f>
      </c>
      <c r="AE15" s="41">
        <f t="shared" si="0"/>
      </c>
      <c r="AF15" s="34"/>
    </row>
    <row r="16" spans="1:32" s="8" customFormat="1" ht="12.75">
      <c r="A16" s="109">
        <v>7</v>
      </c>
      <c r="B16" s="25">
        <f>IF('Scoring Accuracy'!B15&lt;&gt;"",'Scoring Accuracy'!B15,"")</f>
      </c>
      <c r="C16" s="25">
        <f>IF('Scoring Accuracy'!C15&lt;&gt;"",'Scoring Accuracy'!C15,"")</f>
      </c>
      <c r="D16" s="25">
        <f>IF('Scoring Accuracy'!D15&lt;&gt;"",'Scoring Accuracy'!D15,"")</f>
      </c>
      <c r="E16" s="25">
        <f>IF('Scoring Accuracy'!E15&lt;&gt;"",'Scoring Accuracy'!E15,"")</f>
      </c>
      <c r="F16" s="25">
        <f>IF('Scoring Accuracy'!F15&lt;&gt;"",'Scoring Accuracy'!F15,"")</f>
      </c>
      <c r="G16" s="25">
        <f>IF('Scoring Accuracy'!G15&lt;&gt;"",'Scoring Accuracy'!G15,"")</f>
      </c>
      <c r="H16" s="34">
        <f>IF('Scoring Accuracy'!I15&lt;&gt;"",'Scoring Accuracy'!I15,"")</f>
      </c>
      <c r="I16" s="20">
        <f>IF('G1-Taste'!Z11&lt;&gt;"",'G1-Taste'!Z11*5,"")</f>
      </c>
      <c r="J16" s="22">
        <f>IF('G2-Taste'!Z11&lt;&gt;"",'G2-Taste'!Z11*5,"")</f>
      </c>
      <c r="K16" s="20">
        <f>IF('G1-Taste'!AA11&lt;&gt;"",'G1-Taste'!AA11*5,"")</f>
      </c>
      <c r="L16" s="22">
        <f>IF('G2-Taste'!AA11&lt;&gt;"",'G2-Taste'!AA11*5,"")</f>
      </c>
      <c r="M16" s="20">
        <f>IF('G1-Taste'!AB11&lt;&gt;"",'G1-Taste'!AB11*5,"")</f>
      </c>
      <c r="N16" s="22">
        <f>IF('G2-Taste'!AB11&lt;&gt;"",'G2-Taste'!AB11*5,"")</f>
      </c>
      <c r="O16" s="20">
        <f>IF('G1-Taste'!AC11&lt;&gt;"",'G1-Taste'!AC11*5,"")</f>
      </c>
      <c r="P16" s="22">
        <f>IF('G2-Taste'!AC11&lt;&gt;"",'G2-Taste'!AC11*5,"")</f>
      </c>
      <c r="Q16" s="20">
        <f>IF('Scoring Accuracy'!$H15&lt;&gt;"",'Scoring Accuracy'!P15+SUM('G1-Taste'!B11:E11),"")</f>
      </c>
      <c r="R16" s="22">
        <f>IF('Scoring Accuracy'!$H15&lt;&gt;"",'Scoring Accuracy'!P15+SUM('G2-Taste'!B11:E11),"")</f>
      </c>
      <c r="S16" s="20">
        <f>IF('Scoring Accuracy'!$H15&lt;&gt;"",'Scoring Accuracy'!Q15+SUM('G1-Taste'!F11:I11),"")</f>
      </c>
      <c r="T16" s="22">
        <f>IF('Scoring Accuracy'!$H15&lt;&gt;"",'Scoring Accuracy'!Q15+SUM('G2-Taste'!F11:I11),"")</f>
      </c>
      <c r="U16" s="20">
        <f>IF('Scoring Accuracy'!$H15&lt;&gt;"",'Scoring Accuracy'!R15+SUM('G1-Taste'!J11:M11),"")</f>
      </c>
      <c r="V16" s="22">
        <f>IF('Scoring Accuracy'!$H15&lt;&gt;"",'Scoring Accuracy'!R15+SUM('G2-Taste'!J11:M11),"")</f>
      </c>
      <c r="W16" s="20">
        <f>IF('Scoring Accuracy'!$H15&lt;&gt;"",'Scoring Accuracy'!S15+SUM('G1-Taste'!N11:Q11),"")</f>
      </c>
      <c r="X16" s="22">
        <f>IF('Scoring Accuracy'!$H15&lt;&gt;"",'Scoring Accuracy'!S15+SUM('G2-Taste'!N11:Q11),"")</f>
      </c>
      <c r="Y16" s="20">
        <f>IF('Scoring Accuracy'!$H15&lt;&gt;"",'Scoring Accuracy'!T15+SUM('G1-Taste'!R11:U11),"")</f>
      </c>
      <c r="Z16" s="22">
        <f>IF('Scoring Accuracy'!$H15&lt;&gt;"",'Scoring Accuracy'!T15+SUM('G2-Taste'!R11:U11),"")</f>
      </c>
      <c r="AA16" s="20">
        <f>IF('Scoring Accuracy'!$H15&lt;&gt;"",'Scoring Accuracy'!U15+SUM('G1-Taste'!V11:Y11),"")</f>
      </c>
      <c r="AB16" s="32">
        <f>IF('Scoring Accuracy'!$H15&lt;&gt;"",'Scoring Accuracy'!U15+SUM('G2-Taste'!V11:Y11),"")</f>
      </c>
      <c r="AC16" s="36">
        <f>IF('G1-Taste'!AC11&lt;&gt;"",'G1-Taste'!AD11+H16/5,"")</f>
      </c>
      <c r="AD16" s="37">
        <f>IF('G2-Taste'!AD11&lt;&gt;"",'G2-Taste'!AD11+H16/5,"")</f>
      </c>
      <c r="AE16" s="41">
        <f t="shared" si="0"/>
      </c>
      <c r="AF16" s="34"/>
    </row>
    <row r="17" spans="1:32" s="8" customFormat="1" ht="12.75">
      <c r="A17" s="109">
        <v>8</v>
      </c>
      <c r="B17" s="25">
        <f>IF('Scoring Accuracy'!B16&lt;&gt;"",'Scoring Accuracy'!B16,"")</f>
      </c>
      <c r="C17" s="25">
        <f>IF('Scoring Accuracy'!C16&lt;&gt;"",'Scoring Accuracy'!C16,"")</f>
      </c>
      <c r="D17" s="25">
        <f>IF('Scoring Accuracy'!D16&lt;&gt;"",'Scoring Accuracy'!D16,"")</f>
      </c>
      <c r="E17" s="25">
        <f>IF('Scoring Accuracy'!E16&lt;&gt;"",'Scoring Accuracy'!E16,"")</f>
      </c>
      <c r="F17" s="25">
        <f>IF('Scoring Accuracy'!F16&lt;&gt;"",'Scoring Accuracy'!F16,"")</f>
      </c>
      <c r="G17" s="25">
        <f>IF('Scoring Accuracy'!G16&lt;&gt;"",'Scoring Accuracy'!G16,"")</f>
      </c>
      <c r="H17" s="34">
        <f>IF('Scoring Accuracy'!I16&lt;&gt;"",'Scoring Accuracy'!I16,"")</f>
      </c>
      <c r="I17" s="20">
        <f>IF('G1-Taste'!Z12&lt;&gt;"",'G1-Taste'!Z12*5,"")</f>
      </c>
      <c r="J17" s="22">
        <f>IF('G2-Taste'!Z12&lt;&gt;"",'G2-Taste'!Z12*5,"")</f>
      </c>
      <c r="K17" s="20">
        <f>IF('G1-Taste'!AA12&lt;&gt;"",'G1-Taste'!AA12*5,"")</f>
      </c>
      <c r="L17" s="22">
        <f>IF('G2-Taste'!AA12&lt;&gt;"",'G2-Taste'!AA12*5,"")</f>
      </c>
      <c r="M17" s="20">
        <f>IF('G1-Taste'!AB12&lt;&gt;"",'G1-Taste'!AB12*5,"")</f>
      </c>
      <c r="N17" s="22">
        <f>IF('G2-Taste'!AB12&lt;&gt;"",'G2-Taste'!AB12*5,"")</f>
      </c>
      <c r="O17" s="20">
        <f>IF('G1-Taste'!AC12&lt;&gt;"",'G1-Taste'!AC12*5,"")</f>
      </c>
      <c r="P17" s="22">
        <f>IF('G2-Taste'!AC12&lt;&gt;"",'G2-Taste'!AC12*5,"")</f>
      </c>
      <c r="Q17" s="20">
        <f>IF('Scoring Accuracy'!$H16&lt;&gt;"",'Scoring Accuracy'!P16+SUM('G1-Taste'!B12:E12),"")</f>
      </c>
      <c r="R17" s="22">
        <f>IF('Scoring Accuracy'!$H16&lt;&gt;"",'Scoring Accuracy'!P16+SUM('G2-Taste'!B12:E12),"")</f>
      </c>
      <c r="S17" s="20">
        <f>IF('Scoring Accuracy'!$H16&lt;&gt;"",'Scoring Accuracy'!Q16+SUM('G1-Taste'!F12:I12),"")</f>
      </c>
      <c r="T17" s="22">
        <f>IF('Scoring Accuracy'!$H16&lt;&gt;"",'Scoring Accuracy'!Q16+SUM('G2-Taste'!F12:I12),"")</f>
      </c>
      <c r="U17" s="20">
        <f>IF('Scoring Accuracy'!$H16&lt;&gt;"",'Scoring Accuracy'!R16+SUM('G1-Taste'!J12:M12),"")</f>
      </c>
      <c r="V17" s="22">
        <f>IF('Scoring Accuracy'!$H16&lt;&gt;"",'Scoring Accuracy'!R16+SUM('G2-Taste'!J12:M12),"")</f>
      </c>
      <c r="W17" s="20">
        <f>IF('Scoring Accuracy'!$H16&lt;&gt;"",'Scoring Accuracy'!S16+SUM('G1-Taste'!N12:Q12),"")</f>
      </c>
      <c r="X17" s="22">
        <f>IF('Scoring Accuracy'!$H16&lt;&gt;"",'Scoring Accuracy'!S16+SUM('G2-Taste'!N12:Q12),"")</f>
      </c>
      <c r="Y17" s="20">
        <f>IF('Scoring Accuracy'!$H16&lt;&gt;"",'Scoring Accuracy'!T16+SUM('G1-Taste'!R12:U12),"")</f>
      </c>
      <c r="Z17" s="22">
        <f>IF('Scoring Accuracy'!$H16&lt;&gt;"",'Scoring Accuracy'!T16+SUM('G2-Taste'!R12:U12),"")</f>
      </c>
      <c r="AA17" s="20">
        <f>IF('Scoring Accuracy'!$H16&lt;&gt;"",'Scoring Accuracy'!U16+SUM('G1-Taste'!V12:Y12),"")</f>
      </c>
      <c r="AB17" s="32">
        <f>IF('Scoring Accuracy'!$H16&lt;&gt;"",'Scoring Accuracy'!U16+SUM('G2-Taste'!V12:Y12),"")</f>
      </c>
      <c r="AC17" s="36">
        <f>IF('G1-Taste'!AC12&lt;&gt;"",'G1-Taste'!AD12+H17/5,"")</f>
      </c>
      <c r="AD17" s="37">
        <f>IF('G2-Taste'!AD12&lt;&gt;"",'G2-Taste'!AD12+H17/5,"")</f>
      </c>
      <c r="AE17" s="41">
        <f t="shared" si="0"/>
      </c>
      <c r="AF17" s="34"/>
    </row>
    <row r="18" spans="1:32" s="8" customFormat="1" ht="12.75">
      <c r="A18" s="109">
        <v>9</v>
      </c>
      <c r="B18" s="25">
        <f>IF('Scoring Accuracy'!B17&lt;&gt;"",'Scoring Accuracy'!B17,"")</f>
      </c>
      <c r="C18" s="25">
        <f>IF('Scoring Accuracy'!C17&lt;&gt;"",'Scoring Accuracy'!C17,"")</f>
      </c>
      <c r="D18" s="25">
        <f>IF('Scoring Accuracy'!D17&lt;&gt;"",'Scoring Accuracy'!D17,"")</f>
      </c>
      <c r="E18" s="25">
        <f>IF('Scoring Accuracy'!E17&lt;&gt;"",'Scoring Accuracy'!E17,"")</f>
      </c>
      <c r="F18" s="25">
        <f>IF('Scoring Accuracy'!F17&lt;&gt;"",'Scoring Accuracy'!F17,"")</f>
      </c>
      <c r="G18" s="25">
        <f>IF('Scoring Accuracy'!G17&lt;&gt;"",'Scoring Accuracy'!G17,"")</f>
      </c>
      <c r="H18" s="34">
        <f>IF('Scoring Accuracy'!I17&lt;&gt;"",'Scoring Accuracy'!I17,"")</f>
      </c>
      <c r="I18" s="20">
        <f>IF('G1-Taste'!Z13&lt;&gt;"",'G1-Taste'!Z13*5,"")</f>
      </c>
      <c r="J18" s="22">
        <f>IF('G2-Taste'!Z13&lt;&gt;"",'G2-Taste'!Z13*5,"")</f>
      </c>
      <c r="K18" s="20">
        <f>IF('G1-Taste'!AA13&lt;&gt;"",'G1-Taste'!AA13*5,"")</f>
      </c>
      <c r="L18" s="22">
        <f>IF('G2-Taste'!AA13&lt;&gt;"",'G2-Taste'!AA13*5,"")</f>
      </c>
      <c r="M18" s="20">
        <f>IF('G1-Taste'!AB13&lt;&gt;"",'G1-Taste'!AB13*5,"")</f>
      </c>
      <c r="N18" s="22">
        <f>IF('G2-Taste'!AB13&lt;&gt;"",'G2-Taste'!AB13*5,"")</f>
      </c>
      <c r="O18" s="20">
        <f>IF('G1-Taste'!AC13&lt;&gt;"",'G1-Taste'!AC13*5,"")</f>
      </c>
      <c r="P18" s="22">
        <f>IF('G2-Taste'!AC13&lt;&gt;"",'G2-Taste'!AC13*5,"")</f>
      </c>
      <c r="Q18" s="20">
        <f>IF('Scoring Accuracy'!$H17&lt;&gt;"",'Scoring Accuracy'!P17+SUM('G1-Taste'!B13:E13),"")</f>
      </c>
      <c r="R18" s="22">
        <f>IF('Scoring Accuracy'!$H17&lt;&gt;"",'Scoring Accuracy'!P17+SUM('G2-Taste'!B13:E13),"")</f>
      </c>
      <c r="S18" s="20">
        <f>IF('Scoring Accuracy'!$H17&lt;&gt;"",'Scoring Accuracy'!Q17+SUM('G1-Taste'!F13:I13),"")</f>
      </c>
      <c r="T18" s="22">
        <f>IF('Scoring Accuracy'!$H17&lt;&gt;"",'Scoring Accuracy'!Q17+SUM('G2-Taste'!F13:I13),"")</f>
      </c>
      <c r="U18" s="20">
        <f>IF('Scoring Accuracy'!$H17&lt;&gt;"",'Scoring Accuracy'!R17+SUM('G1-Taste'!J13:M13),"")</f>
      </c>
      <c r="V18" s="22">
        <f>IF('Scoring Accuracy'!$H17&lt;&gt;"",'Scoring Accuracy'!R17+SUM('G2-Taste'!J13:M13),"")</f>
      </c>
      <c r="W18" s="20">
        <f>IF('Scoring Accuracy'!$H17&lt;&gt;"",'Scoring Accuracy'!S17+SUM('G1-Taste'!N13:Q13),"")</f>
      </c>
      <c r="X18" s="22">
        <f>IF('Scoring Accuracy'!$H17&lt;&gt;"",'Scoring Accuracy'!S17+SUM('G2-Taste'!N13:Q13),"")</f>
      </c>
      <c r="Y18" s="20">
        <f>IF('Scoring Accuracy'!$H17&lt;&gt;"",'Scoring Accuracy'!T17+SUM('G1-Taste'!R13:U13),"")</f>
      </c>
      <c r="Z18" s="22">
        <f>IF('Scoring Accuracy'!$H17&lt;&gt;"",'Scoring Accuracy'!T17+SUM('G2-Taste'!R13:U13),"")</f>
      </c>
      <c r="AA18" s="20">
        <f>IF('Scoring Accuracy'!$H17&lt;&gt;"",'Scoring Accuracy'!U17+SUM('G1-Taste'!V13:Y13),"")</f>
      </c>
      <c r="AB18" s="32">
        <f>IF('Scoring Accuracy'!$H17&lt;&gt;"",'Scoring Accuracy'!U17+SUM('G2-Taste'!V13:Y13),"")</f>
      </c>
      <c r="AC18" s="36">
        <f>IF('G1-Taste'!AC13&lt;&gt;"",'G1-Taste'!AD13+H18/5,"")</f>
      </c>
      <c r="AD18" s="37">
        <f>IF('G2-Taste'!AD13&lt;&gt;"",'G2-Taste'!AD13+H18/5,"")</f>
      </c>
      <c r="AE18" s="41">
        <f t="shared" si="0"/>
      </c>
      <c r="AF18" s="34"/>
    </row>
    <row r="19" spans="1:32" s="8" customFormat="1" ht="12.75">
      <c r="A19" s="109">
        <v>10</v>
      </c>
      <c r="B19" s="25">
        <f>IF('Scoring Accuracy'!B18&lt;&gt;"",'Scoring Accuracy'!B18,"")</f>
      </c>
      <c r="C19" s="25">
        <f>IF('Scoring Accuracy'!C18&lt;&gt;"",'Scoring Accuracy'!C18,"")</f>
      </c>
      <c r="D19" s="25">
        <f>IF('Scoring Accuracy'!D18&lt;&gt;"",'Scoring Accuracy'!D18,"")</f>
      </c>
      <c r="E19" s="25">
        <f>IF('Scoring Accuracy'!E18&lt;&gt;"",'Scoring Accuracy'!E18,"")</f>
      </c>
      <c r="F19" s="25">
        <f>IF('Scoring Accuracy'!F18&lt;&gt;"",'Scoring Accuracy'!F18,"")</f>
      </c>
      <c r="G19" s="25">
        <f>IF('Scoring Accuracy'!G18&lt;&gt;"",'Scoring Accuracy'!G18,"")</f>
      </c>
      <c r="H19" s="34">
        <f>IF('Scoring Accuracy'!I18&lt;&gt;"",'Scoring Accuracy'!I18,"")</f>
      </c>
      <c r="I19" s="20">
        <f>IF('G1-Taste'!Z14&lt;&gt;"",'G1-Taste'!Z14*5,"")</f>
      </c>
      <c r="J19" s="22">
        <f>IF('G2-Taste'!Z14&lt;&gt;"",'G2-Taste'!Z14*5,"")</f>
      </c>
      <c r="K19" s="20">
        <f>IF('G1-Taste'!AA14&lt;&gt;"",'G1-Taste'!AA14*5,"")</f>
      </c>
      <c r="L19" s="22">
        <f>IF('G2-Taste'!AA14&lt;&gt;"",'G2-Taste'!AA14*5,"")</f>
      </c>
      <c r="M19" s="20">
        <f>IF('G1-Taste'!AB14&lt;&gt;"",'G1-Taste'!AB14*5,"")</f>
      </c>
      <c r="N19" s="22">
        <f>IF('G2-Taste'!AB14&lt;&gt;"",'G2-Taste'!AB14*5,"")</f>
      </c>
      <c r="O19" s="20">
        <f>IF('G1-Taste'!AC14&lt;&gt;"",'G1-Taste'!AC14*5,"")</f>
      </c>
      <c r="P19" s="22">
        <f>IF('G2-Taste'!AC14&lt;&gt;"",'G2-Taste'!AC14*5,"")</f>
      </c>
      <c r="Q19" s="20">
        <f>IF('Scoring Accuracy'!$H18&lt;&gt;"",'Scoring Accuracy'!P18+SUM('G1-Taste'!B14:E14),"")</f>
      </c>
      <c r="R19" s="22">
        <f>IF('Scoring Accuracy'!$H18&lt;&gt;"",'Scoring Accuracy'!P18+SUM('G2-Taste'!B14:E14),"")</f>
      </c>
      <c r="S19" s="20">
        <f>IF('Scoring Accuracy'!$H18&lt;&gt;"",'Scoring Accuracy'!Q18+SUM('G1-Taste'!F14:I14),"")</f>
      </c>
      <c r="T19" s="22">
        <f>IF('Scoring Accuracy'!$H18&lt;&gt;"",'Scoring Accuracy'!Q18+SUM('G2-Taste'!F14:I14),"")</f>
      </c>
      <c r="U19" s="20">
        <f>IF('Scoring Accuracy'!$H18&lt;&gt;"",'Scoring Accuracy'!R18+SUM('G1-Taste'!J14:M14),"")</f>
      </c>
      <c r="V19" s="22">
        <f>IF('Scoring Accuracy'!$H18&lt;&gt;"",'Scoring Accuracy'!R18+SUM('G2-Taste'!J14:M14),"")</f>
      </c>
      <c r="W19" s="20">
        <f>IF('Scoring Accuracy'!$H18&lt;&gt;"",'Scoring Accuracy'!S18+SUM('G1-Taste'!N14:Q14),"")</f>
      </c>
      <c r="X19" s="22">
        <f>IF('Scoring Accuracy'!$H18&lt;&gt;"",'Scoring Accuracy'!S18+SUM('G2-Taste'!N14:Q14),"")</f>
      </c>
      <c r="Y19" s="20">
        <f>IF('Scoring Accuracy'!$H18&lt;&gt;"",'Scoring Accuracy'!T18+SUM('G1-Taste'!R14:U14),"")</f>
      </c>
      <c r="Z19" s="22">
        <f>IF('Scoring Accuracy'!$H18&lt;&gt;"",'Scoring Accuracy'!T18+SUM('G2-Taste'!R14:U14),"")</f>
      </c>
      <c r="AA19" s="20">
        <f>IF('Scoring Accuracy'!$H18&lt;&gt;"",'Scoring Accuracy'!U18+SUM('G1-Taste'!V14:Y14),"")</f>
      </c>
      <c r="AB19" s="32">
        <f>IF('Scoring Accuracy'!$H18&lt;&gt;"",'Scoring Accuracy'!U18+SUM('G2-Taste'!V14:Y14),"")</f>
      </c>
      <c r="AC19" s="36">
        <f>IF('G1-Taste'!AC14&lt;&gt;"",'G1-Taste'!AD14+H19/5,"")</f>
      </c>
      <c r="AD19" s="37">
        <f>IF('G2-Taste'!AD14&lt;&gt;"",'G2-Taste'!AD14+H19/5,"")</f>
      </c>
      <c r="AE19" s="41">
        <f t="shared" si="0"/>
      </c>
      <c r="AF19" s="34"/>
    </row>
    <row r="20" spans="1:32" s="8" customFormat="1" ht="12.75">
      <c r="A20" s="109">
        <v>11</v>
      </c>
      <c r="B20" s="25">
        <f>IF('Scoring Accuracy'!B19&lt;&gt;"",'Scoring Accuracy'!B19,"")</f>
      </c>
      <c r="C20" s="25">
        <f>IF('Scoring Accuracy'!C19&lt;&gt;"",'Scoring Accuracy'!C19,"")</f>
      </c>
      <c r="D20" s="25">
        <f>IF('Scoring Accuracy'!D19&lt;&gt;"",'Scoring Accuracy'!D19,"")</f>
      </c>
      <c r="E20" s="25">
        <f>IF('Scoring Accuracy'!E19&lt;&gt;"",'Scoring Accuracy'!E19,"")</f>
      </c>
      <c r="F20" s="25">
        <f>IF('Scoring Accuracy'!F19&lt;&gt;"",'Scoring Accuracy'!F19,"")</f>
      </c>
      <c r="G20" s="25">
        <f>IF('Scoring Accuracy'!G19&lt;&gt;"",'Scoring Accuracy'!G19,"")</f>
      </c>
      <c r="H20" s="34">
        <f>IF('Scoring Accuracy'!I19&lt;&gt;"",'Scoring Accuracy'!I19,"")</f>
      </c>
      <c r="I20" s="20">
        <f>IF('G1-Taste'!Z15&lt;&gt;"",'G1-Taste'!Z15*5,"")</f>
      </c>
      <c r="J20" s="22">
        <f>IF('G2-Taste'!Z15&lt;&gt;"",'G2-Taste'!Z15*5,"")</f>
      </c>
      <c r="K20" s="20">
        <f>IF('G1-Taste'!AA15&lt;&gt;"",'G1-Taste'!AA15*5,"")</f>
      </c>
      <c r="L20" s="22">
        <f>IF('G2-Taste'!AA15&lt;&gt;"",'G2-Taste'!AA15*5,"")</f>
      </c>
      <c r="M20" s="20">
        <f>IF('G1-Taste'!AB15&lt;&gt;"",'G1-Taste'!AB15*5,"")</f>
      </c>
      <c r="N20" s="22">
        <f>IF('G2-Taste'!AB15&lt;&gt;"",'G2-Taste'!AB15*5,"")</f>
      </c>
      <c r="O20" s="20">
        <f>IF('G1-Taste'!AC15&lt;&gt;"",'G1-Taste'!AC15*5,"")</f>
      </c>
      <c r="P20" s="22">
        <f>IF('G2-Taste'!AC15&lt;&gt;"",'G2-Taste'!AC15*5,"")</f>
      </c>
      <c r="Q20" s="20">
        <f>IF('Scoring Accuracy'!$H19&lt;&gt;"",'Scoring Accuracy'!P19+SUM('G1-Taste'!B15:E15),"")</f>
      </c>
      <c r="R20" s="22">
        <f>IF('Scoring Accuracy'!$H19&lt;&gt;"",'Scoring Accuracy'!P19+SUM('G2-Taste'!B15:E15),"")</f>
      </c>
      <c r="S20" s="20">
        <f>IF('Scoring Accuracy'!$H19&lt;&gt;"",'Scoring Accuracy'!Q19+SUM('G1-Taste'!F15:I15),"")</f>
      </c>
      <c r="T20" s="22">
        <f>IF('Scoring Accuracy'!$H19&lt;&gt;"",'Scoring Accuracy'!Q19+SUM('G2-Taste'!F15:I15),"")</f>
      </c>
      <c r="U20" s="20">
        <f>IF('Scoring Accuracy'!$H19&lt;&gt;"",'Scoring Accuracy'!R19+SUM('G1-Taste'!J15:M15),"")</f>
      </c>
      <c r="V20" s="22">
        <f>IF('Scoring Accuracy'!$H19&lt;&gt;"",'Scoring Accuracy'!R19+SUM('G2-Taste'!J15:M15),"")</f>
      </c>
      <c r="W20" s="20">
        <f>IF('Scoring Accuracy'!$H19&lt;&gt;"",'Scoring Accuracy'!S19+SUM('G1-Taste'!N15:Q15),"")</f>
      </c>
      <c r="X20" s="22">
        <f>IF('Scoring Accuracy'!$H19&lt;&gt;"",'Scoring Accuracy'!S19+SUM('G2-Taste'!N15:Q15),"")</f>
      </c>
      <c r="Y20" s="20">
        <f>IF('Scoring Accuracy'!$H19&lt;&gt;"",'Scoring Accuracy'!T19+SUM('G1-Taste'!R15:U15),"")</f>
      </c>
      <c r="Z20" s="22">
        <f>IF('Scoring Accuracy'!$H19&lt;&gt;"",'Scoring Accuracy'!T19+SUM('G2-Taste'!R15:U15),"")</f>
      </c>
      <c r="AA20" s="20">
        <f>IF('Scoring Accuracy'!$H19&lt;&gt;"",'Scoring Accuracy'!U19+SUM('G1-Taste'!V15:Y15),"")</f>
      </c>
      <c r="AB20" s="32">
        <f>IF('Scoring Accuracy'!$H19&lt;&gt;"",'Scoring Accuracy'!U19+SUM('G2-Taste'!V15:Y15),"")</f>
      </c>
      <c r="AC20" s="36">
        <f>IF('G1-Taste'!AC15&lt;&gt;"",'G1-Taste'!AD15+H20/5,"")</f>
      </c>
      <c r="AD20" s="37">
        <f>IF('G2-Taste'!AD15&lt;&gt;"",'G2-Taste'!AD15+H20/5,"")</f>
      </c>
      <c r="AE20" s="41">
        <f t="shared" si="0"/>
      </c>
      <c r="AF20" s="34"/>
    </row>
    <row r="21" spans="1:32" s="8" customFormat="1" ht="12.75">
      <c r="A21" s="109">
        <v>12</v>
      </c>
      <c r="B21" s="25">
        <f>IF('Scoring Accuracy'!B20&lt;&gt;"",'Scoring Accuracy'!B20,"")</f>
      </c>
      <c r="C21" s="25">
        <f>IF('Scoring Accuracy'!C20&lt;&gt;"",'Scoring Accuracy'!C20,"")</f>
      </c>
      <c r="D21" s="25">
        <f>IF('Scoring Accuracy'!D20&lt;&gt;"",'Scoring Accuracy'!D20,"")</f>
      </c>
      <c r="E21" s="25">
        <f>IF('Scoring Accuracy'!E20&lt;&gt;"",'Scoring Accuracy'!E20,"")</f>
      </c>
      <c r="F21" s="25">
        <f>IF('Scoring Accuracy'!F20&lt;&gt;"",'Scoring Accuracy'!F20,"")</f>
      </c>
      <c r="G21" s="25">
        <f>IF('Scoring Accuracy'!G20&lt;&gt;"",'Scoring Accuracy'!G20,"")</f>
      </c>
      <c r="H21" s="34">
        <f>IF('Scoring Accuracy'!I20&lt;&gt;"",'Scoring Accuracy'!I20,"")</f>
      </c>
      <c r="I21" s="20">
        <f>IF('G1-Taste'!Z16&lt;&gt;"",'G1-Taste'!Z16*5,"")</f>
      </c>
      <c r="J21" s="22">
        <f>IF('G2-Taste'!Z16&lt;&gt;"",'G2-Taste'!Z16*5,"")</f>
      </c>
      <c r="K21" s="20">
        <f>IF('G1-Taste'!AA16&lt;&gt;"",'G1-Taste'!AA16*5,"")</f>
      </c>
      <c r="L21" s="22">
        <f>IF('G2-Taste'!AA16&lt;&gt;"",'G2-Taste'!AA16*5,"")</f>
      </c>
      <c r="M21" s="20">
        <f>IF('G1-Taste'!AB16&lt;&gt;"",'G1-Taste'!AB16*5,"")</f>
      </c>
      <c r="N21" s="22">
        <f>IF('G2-Taste'!AB16&lt;&gt;"",'G2-Taste'!AB16*5,"")</f>
      </c>
      <c r="O21" s="20">
        <f>IF('G1-Taste'!AC16&lt;&gt;"",'G1-Taste'!AC16*5,"")</f>
      </c>
      <c r="P21" s="22">
        <f>IF('G2-Taste'!AC16&lt;&gt;"",'G2-Taste'!AC16*5,"")</f>
      </c>
      <c r="Q21" s="20">
        <f>IF('Scoring Accuracy'!$H20&lt;&gt;"",'Scoring Accuracy'!P20+SUM('G1-Taste'!B16:E16),"")</f>
      </c>
      <c r="R21" s="22">
        <f>IF('Scoring Accuracy'!$H20&lt;&gt;"",'Scoring Accuracy'!P20+SUM('G2-Taste'!B16:E16),"")</f>
      </c>
      <c r="S21" s="20">
        <f>IF('Scoring Accuracy'!$H20&lt;&gt;"",'Scoring Accuracy'!Q20+SUM('G1-Taste'!F16:I16),"")</f>
      </c>
      <c r="T21" s="22">
        <f>IF('Scoring Accuracy'!$H20&lt;&gt;"",'Scoring Accuracy'!Q20+SUM('G2-Taste'!F16:I16),"")</f>
      </c>
      <c r="U21" s="20">
        <f>IF('Scoring Accuracy'!$H20&lt;&gt;"",'Scoring Accuracy'!R20+SUM('G1-Taste'!J16:M16),"")</f>
      </c>
      <c r="V21" s="22">
        <f>IF('Scoring Accuracy'!$H20&lt;&gt;"",'Scoring Accuracy'!R20+SUM('G2-Taste'!J16:M16),"")</f>
      </c>
      <c r="W21" s="20">
        <f>IF('Scoring Accuracy'!$H20&lt;&gt;"",'Scoring Accuracy'!S20+SUM('G1-Taste'!N16:Q16),"")</f>
      </c>
      <c r="X21" s="22">
        <f>IF('Scoring Accuracy'!$H20&lt;&gt;"",'Scoring Accuracy'!S20+SUM('G2-Taste'!N16:Q16),"")</f>
      </c>
      <c r="Y21" s="20">
        <f>IF('Scoring Accuracy'!$H20&lt;&gt;"",'Scoring Accuracy'!T20+SUM('G1-Taste'!R16:U16),"")</f>
      </c>
      <c r="Z21" s="22">
        <f>IF('Scoring Accuracy'!$H20&lt;&gt;"",'Scoring Accuracy'!T20+SUM('G2-Taste'!R16:U16),"")</f>
      </c>
      <c r="AA21" s="20">
        <f>IF('Scoring Accuracy'!$H20&lt;&gt;"",'Scoring Accuracy'!U20+SUM('G1-Taste'!V16:Y16),"")</f>
      </c>
      <c r="AB21" s="32">
        <f>IF('Scoring Accuracy'!$H20&lt;&gt;"",'Scoring Accuracy'!U20+SUM('G2-Taste'!V16:Y16),"")</f>
      </c>
      <c r="AC21" s="36">
        <f>IF('G1-Taste'!AC16&lt;&gt;"",'G1-Taste'!AD16+H21/5,"")</f>
      </c>
      <c r="AD21" s="37">
        <f>IF('G2-Taste'!AD16&lt;&gt;"",'G2-Taste'!AD16+H21/5,"")</f>
      </c>
      <c r="AE21" s="41">
        <f t="shared" si="0"/>
      </c>
      <c r="AF21" s="34"/>
    </row>
    <row r="22" spans="1:32" s="8" customFormat="1" ht="12.75">
      <c r="A22" s="109">
        <v>13</v>
      </c>
      <c r="B22" s="25">
        <f>IF('Scoring Accuracy'!B21&lt;&gt;"",'Scoring Accuracy'!B21,"")</f>
      </c>
      <c r="C22" s="25">
        <f>IF('Scoring Accuracy'!C21&lt;&gt;"",'Scoring Accuracy'!C21,"")</f>
      </c>
      <c r="D22" s="25">
        <f>IF('Scoring Accuracy'!D21&lt;&gt;"",'Scoring Accuracy'!D21,"")</f>
      </c>
      <c r="E22" s="25">
        <f>IF('Scoring Accuracy'!E21&lt;&gt;"",'Scoring Accuracy'!E21,"")</f>
      </c>
      <c r="F22" s="25">
        <f>IF('Scoring Accuracy'!F21&lt;&gt;"",'Scoring Accuracy'!F21,"")</f>
      </c>
      <c r="G22" s="25">
        <f>IF('Scoring Accuracy'!G21&lt;&gt;"",'Scoring Accuracy'!G21,"")</f>
      </c>
      <c r="H22" s="34">
        <f>IF('Scoring Accuracy'!I21&lt;&gt;"",'Scoring Accuracy'!I21,"")</f>
      </c>
      <c r="I22" s="20">
        <f>IF('G1-Taste'!Z17&lt;&gt;"",'G1-Taste'!Z17*5,"")</f>
      </c>
      <c r="J22" s="22">
        <f>IF('G2-Taste'!Z17&lt;&gt;"",'G2-Taste'!Z17*5,"")</f>
      </c>
      <c r="K22" s="20">
        <f>IF('G1-Taste'!AA17&lt;&gt;"",'G1-Taste'!AA17*5,"")</f>
      </c>
      <c r="L22" s="22">
        <f>IF('G2-Taste'!AA17&lt;&gt;"",'G2-Taste'!AA17*5,"")</f>
      </c>
      <c r="M22" s="20">
        <f>IF('G1-Taste'!AB17&lt;&gt;"",'G1-Taste'!AB17*5,"")</f>
      </c>
      <c r="N22" s="22">
        <f>IF('G2-Taste'!AB17&lt;&gt;"",'G2-Taste'!AB17*5,"")</f>
      </c>
      <c r="O22" s="20">
        <f>IF('G1-Taste'!AC17&lt;&gt;"",'G1-Taste'!AC17*5,"")</f>
      </c>
      <c r="P22" s="22">
        <f>IF('G2-Taste'!AC17&lt;&gt;"",'G2-Taste'!AC17*5,"")</f>
      </c>
      <c r="Q22" s="20">
        <f>IF('Scoring Accuracy'!$H21&lt;&gt;"",'Scoring Accuracy'!P21+SUM('G1-Taste'!B17:E17),"")</f>
      </c>
      <c r="R22" s="22">
        <f>IF('Scoring Accuracy'!$H21&lt;&gt;"",'Scoring Accuracy'!P21+SUM('G2-Taste'!B17:E17),"")</f>
      </c>
      <c r="S22" s="20">
        <f>IF('Scoring Accuracy'!$H21&lt;&gt;"",'Scoring Accuracy'!Q21+SUM('G1-Taste'!F17:I17),"")</f>
      </c>
      <c r="T22" s="22">
        <f>IF('Scoring Accuracy'!$H21&lt;&gt;"",'Scoring Accuracy'!Q21+SUM('G2-Taste'!F17:I17),"")</f>
      </c>
      <c r="U22" s="20">
        <f>IF('Scoring Accuracy'!$H21&lt;&gt;"",'Scoring Accuracy'!R21+SUM('G1-Taste'!J17:M17),"")</f>
      </c>
      <c r="V22" s="22">
        <f>IF('Scoring Accuracy'!$H21&lt;&gt;"",'Scoring Accuracy'!R21+SUM('G2-Taste'!J17:M17),"")</f>
      </c>
      <c r="W22" s="20">
        <f>IF('Scoring Accuracy'!$H21&lt;&gt;"",'Scoring Accuracy'!S21+SUM('G1-Taste'!N17:Q17),"")</f>
      </c>
      <c r="X22" s="22">
        <f>IF('Scoring Accuracy'!$H21&lt;&gt;"",'Scoring Accuracy'!S21+SUM('G2-Taste'!N17:Q17),"")</f>
      </c>
      <c r="Y22" s="20">
        <f>IF('Scoring Accuracy'!$H21&lt;&gt;"",'Scoring Accuracy'!T21+SUM('G1-Taste'!R17:U17),"")</f>
      </c>
      <c r="Z22" s="22">
        <f>IF('Scoring Accuracy'!$H21&lt;&gt;"",'Scoring Accuracy'!T21+SUM('G2-Taste'!R17:U17),"")</f>
      </c>
      <c r="AA22" s="20">
        <f>IF('Scoring Accuracy'!$H21&lt;&gt;"",'Scoring Accuracy'!U21+SUM('G1-Taste'!V17:Y17),"")</f>
      </c>
      <c r="AB22" s="32">
        <f>IF('Scoring Accuracy'!$H21&lt;&gt;"",'Scoring Accuracy'!U21+SUM('G2-Taste'!V17:Y17),"")</f>
      </c>
      <c r="AC22" s="36">
        <f>IF('G1-Taste'!AC17&lt;&gt;"",'G1-Taste'!AD17+H22/5,"")</f>
      </c>
      <c r="AD22" s="37">
        <f>IF('G2-Taste'!AD17&lt;&gt;"",'G2-Taste'!AD17+H22/5,"")</f>
      </c>
      <c r="AE22" s="41">
        <f t="shared" si="0"/>
      </c>
      <c r="AF22" s="38"/>
    </row>
    <row r="23" spans="1:32" s="8" customFormat="1" ht="12.75">
      <c r="A23" s="109">
        <v>14</v>
      </c>
      <c r="B23" s="25">
        <f>IF('Scoring Accuracy'!B22&lt;&gt;"",'Scoring Accuracy'!B22,"")</f>
      </c>
      <c r="C23" s="25">
        <f>IF('Scoring Accuracy'!C22&lt;&gt;"",'Scoring Accuracy'!C22,"")</f>
      </c>
      <c r="D23" s="25">
        <f>IF('Scoring Accuracy'!D22&lt;&gt;"",'Scoring Accuracy'!D22,"")</f>
      </c>
      <c r="E23" s="25">
        <f>IF('Scoring Accuracy'!E22&lt;&gt;"",'Scoring Accuracy'!E22,"")</f>
      </c>
      <c r="F23" s="25">
        <f>IF('Scoring Accuracy'!F22&lt;&gt;"",'Scoring Accuracy'!F22,"")</f>
      </c>
      <c r="G23" s="25">
        <f>IF('Scoring Accuracy'!G22&lt;&gt;"",'Scoring Accuracy'!G22,"")</f>
      </c>
      <c r="H23" s="34">
        <f>IF('Scoring Accuracy'!I22&lt;&gt;"",'Scoring Accuracy'!I22,"")</f>
      </c>
      <c r="I23" s="20">
        <f>IF('G1-Taste'!Z18&lt;&gt;"",'G1-Taste'!Z18*5,"")</f>
      </c>
      <c r="J23" s="22">
        <f>IF('G2-Taste'!Z18&lt;&gt;"",'G2-Taste'!Z18*5,"")</f>
      </c>
      <c r="K23" s="20">
        <f>IF('G1-Taste'!AA18&lt;&gt;"",'G1-Taste'!AA18*5,"")</f>
      </c>
      <c r="L23" s="22">
        <f>IF('G2-Taste'!AA18&lt;&gt;"",'G2-Taste'!AA18*5,"")</f>
      </c>
      <c r="M23" s="20">
        <f>IF('G1-Taste'!AB18&lt;&gt;"",'G1-Taste'!AB18*5,"")</f>
      </c>
      <c r="N23" s="22">
        <f>IF('G2-Taste'!AB18&lt;&gt;"",'G2-Taste'!AB18*5,"")</f>
      </c>
      <c r="O23" s="20">
        <f>IF('G1-Taste'!AC18&lt;&gt;"",'G1-Taste'!AC18*5,"")</f>
      </c>
      <c r="P23" s="22">
        <f>IF('G2-Taste'!AC18&lt;&gt;"",'G2-Taste'!AC18*5,"")</f>
      </c>
      <c r="Q23" s="20">
        <f>IF('Scoring Accuracy'!$H22&lt;&gt;"",'Scoring Accuracy'!P22+SUM('G1-Taste'!B18:E18),"")</f>
      </c>
      <c r="R23" s="22">
        <f>IF('Scoring Accuracy'!$H22&lt;&gt;"",'Scoring Accuracy'!P22+SUM('G2-Taste'!B18:E18),"")</f>
      </c>
      <c r="S23" s="20">
        <f>IF('Scoring Accuracy'!$H22&lt;&gt;"",'Scoring Accuracy'!Q22+SUM('G1-Taste'!F18:I18),"")</f>
      </c>
      <c r="T23" s="22">
        <f>IF('Scoring Accuracy'!$H22&lt;&gt;"",'Scoring Accuracy'!Q22+SUM('G2-Taste'!F18:I18),"")</f>
      </c>
      <c r="U23" s="20">
        <f>IF('Scoring Accuracy'!$H22&lt;&gt;"",'Scoring Accuracy'!R22+SUM('G1-Taste'!J18:M18),"")</f>
      </c>
      <c r="V23" s="22">
        <f>IF('Scoring Accuracy'!$H22&lt;&gt;"",'Scoring Accuracy'!R22+SUM('G2-Taste'!J18:M18),"")</f>
      </c>
      <c r="W23" s="20">
        <f>IF('Scoring Accuracy'!$H22&lt;&gt;"",'Scoring Accuracy'!S22+SUM('G1-Taste'!N18:Q18),"")</f>
      </c>
      <c r="X23" s="22">
        <f>IF('Scoring Accuracy'!$H22&lt;&gt;"",'Scoring Accuracy'!S22+SUM('G2-Taste'!N18:Q18),"")</f>
      </c>
      <c r="Y23" s="20">
        <f>IF('Scoring Accuracy'!$H22&lt;&gt;"",'Scoring Accuracy'!T22+SUM('G1-Taste'!R18:U18),"")</f>
      </c>
      <c r="Z23" s="22">
        <f>IF('Scoring Accuracy'!$H22&lt;&gt;"",'Scoring Accuracy'!T22+SUM('G2-Taste'!R18:U18),"")</f>
      </c>
      <c r="AA23" s="20">
        <f>IF('Scoring Accuracy'!$H22&lt;&gt;"",'Scoring Accuracy'!U22+SUM('G1-Taste'!V18:Y18),"")</f>
      </c>
      <c r="AB23" s="32">
        <f>IF('Scoring Accuracy'!$H22&lt;&gt;"",'Scoring Accuracy'!U22+SUM('G2-Taste'!V18:Y18),"")</f>
      </c>
      <c r="AC23" s="36">
        <f>IF('G1-Taste'!AC18&lt;&gt;"",'G1-Taste'!AD18+H23/5,"")</f>
      </c>
      <c r="AD23" s="37">
        <f>IF('G2-Taste'!AD18&lt;&gt;"",'G2-Taste'!AD18+H23/5,"")</f>
      </c>
      <c r="AE23" s="41">
        <f t="shared" si="0"/>
      </c>
      <c r="AF23" s="38"/>
    </row>
    <row r="24" spans="1:32" s="8" customFormat="1" ht="12.75">
      <c r="A24" s="109">
        <v>15</v>
      </c>
      <c r="B24" s="25">
        <f>IF('Scoring Accuracy'!B23&lt;&gt;"",'Scoring Accuracy'!B23,"")</f>
      </c>
      <c r="C24" s="25">
        <f>IF('Scoring Accuracy'!C23&lt;&gt;"",'Scoring Accuracy'!C23,"")</f>
      </c>
      <c r="D24" s="25">
        <f>IF('Scoring Accuracy'!D23&lt;&gt;"",'Scoring Accuracy'!D23,"")</f>
      </c>
      <c r="E24" s="25">
        <f>IF('Scoring Accuracy'!E23&lt;&gt;"",'Scoring Accuracy'!E23,"")</f>
      </c>
      <c r="F24" s="25">
        <f>IF('Scoring Accuracy'!F23&lt;&gt;"",'Scoring Accuracy'!F23,"")</f>
      </c>
      <c r="G24" s="25">
        <f>IF('Scoring Accuracy'!G23&lt;&gt;"",'Scoring Accuracy'!G23,"")</f>
      </c>
      <c r="H24" s="34">
        <f>IF('Scoring Accuracy'!I23&lt;&gt;"",'Scoring Accuracy'!I23,"")</f>
      </c>
      <c r="I24" s="20">
        <f>IF('G1-Taste'!Z19&lt;&gt;"",'G1-Taste'!Z19*5,"")</f>
      </c>
      <c r="J24" s="22">
        <f>IF('G2-Taste'!Z19&lt;&gt;"",'G2-Taste'!Z19*5,"")</f>
      </c>
      <c r="K24" s="20">
        <f>IF('G1-Taste'!AA19&lt;&gt;"",'G1-Taste'!AA19*5,"")</f>
      </c>
      <c r="L24" s="22">
        <f>IF('G2-Taste'!AA19&lt;&gt;"",'G2-Taste'!AA19*5,"")</f>
      </c>
      <c r="M24" s="20">
        <f>IF('G1-Taste'!AB19&lt;&gt;"",'G1-Taste'!AB19*5,"")</f>
      </c>
      <c r="N24" s="22">
        <f>IF('G2-Taste'!AB19&lt;&gt;"",'G2-Taste'!AB19*5,"")</f>
      </c>
      <c r="O24" s="20">
        <f>IF('G1-Taste'!AC19&lt;&gt;"",'G1-Taste'!AC19*5,"")</f>
      </c>
      <c r="P24" s="22">
        <f>IF('G2-Taste'!AC19&lt;&gt;"",'G2-Taste'!AC19*5,"")</f>
      </c>
      <c r="Q24" s="20">
        <f>IF('Scoring Accuracy'!$H23&lt;&gt;"",'Scoring Accuracy'!P23+SUM('G1-Taste'!B19:E19),"")</f>
      </c>
      <c r="R24" s="22">
        <f>IF('Scoring Accuracy'!$H23&lt;&gt;"",'Scoring Accuracy'!P23+SUM('G2-Taste'!B19:E19),"")</f>
      </c>
      <c r="S24" s="20">
        <f>IF('Scoring Accuracy'!$H23&lt;&gt;"",'Scoring Accuracy'!Q23+SUM('G1-Taste'!F19:I19),"")</f>
      </c>
      <c r="T24" s="22">
        <f>IF('Scoring Accuracy'!$H23&lt;&gt;"",'Scoring Accuracy'!Q23+SUM('G2-Taste'!F19:I19),"")</f>
      </c>
      <c r="U24" s="20">
        <f>IF('Scoring Accuracy'!$H23&lt;&gt;"",'Scoring Accuracy'!R23+SUM('G1-Taste'!J19:M19),"")</f>
      </c>
      <c r="V24" s="22">
        <f>IF('Scoring Accuracy'!$H23&lt;&gt;"",'Scoring Accuracy'!R23+SUM('G2-Taste'!J19:M19),"")</f>
      </c>
      <c r="W24" s="20">
        <f>IF('Scoring Accuracy'!$H23&lt;&gt;"",'Scoring Accuracy'!S23+SUM('G1-Taste'!N19:Q19),"")</f>
      </c>
      <c r="X24" s="22">
        <f>IF('Scoring Accuracy'!$H23&lt;&gt;"",'Scoring Accuracy'!S23+SUM('G2-Taste'!N19:Q19),"")</f>
      </c>
      <c r="Y24" s="20">
        <f>IF('Scoring Accuracy'!$H23&lt;&gt;"",'Scoring Accuracy'!T23+SUM('G1-Taste'!R19:U19),"")</f>
      </c>
      <c r="Z24" s="22">
        <f>IF('Scoring Accuracy'!$H23&lt;&gt;"",'Scoring Accuracy'!T23+SUM('G2-Taste'!R19:U19),"")</f>
      </c>
      <c r="AA24" s="20">
        <f>IF('Scoring Accuracy'!$H23&lt;&gt;"",'Scoring Accuracy'!U23+SUM('G1-Taste'!V19:Y19),"")</f>
      </c>
      <c r="AB24" s="32">
        <f>IF('Scoring Accuracy'!$H23&lt;&gt;"",'Scoring Accuracy'!U23+SUM('G2-Taste'!V19:Y19),"")</f>
      </c>
      <c r="AC24" s="36">
        <f>IF('G1-Taste'!AC19&lt;&gt;"",'G1-Taste'!AD19+H24/5,"")</f>
      </c>
      <c r="AD24" s="37">
        <f>IF('G2-Taste'!AD19&lt;&gt;"",'G2-Taste'!AD19+H24/5,"")</f>
      </c>
      <c r="AE24" s="41">
        <f t="shared" si="0"/>
      </c>
      <c r="AF24" s="38"/>
    </row>
    <row r="25" spans="1:32" s="8" customFormat="1" ht="12.75">
      <c r="A25" s="109">
        <v>16</v>
      </c>
      <c r="B25" s="25">
        <f>IF('Scoring Accuracy'!B24&lt;&gt;"",'Scoring Accuracy'!B24,"")</f>
      </c>
      <c r="C25" s="25">
        <f>IF('Scoring Accuracy'!C24&lt;&gt;"",'Scoring Accuracy'!C24,"")</f>
      </c>
      <c r="D25" s="25">
        <f>IF('Scoring Accuracy'!D24&lt;&gt;"",'Scoring Accuracy'!D24,"")</f>
      </c>
      <c r="E25" s="25">
        <f>IF('Scoring Accuracy'!E24&lt;&gt;"",'Scoring Accuracy'!E24,"")</f>
      </c>
      <c r="F25" s="25">
        <f>IF('Scoring Accuracy'!F24&lt;&gt;"",'Scoring Accuracy'!F24,"")</f>
      </c>
      <c r="G25" s="25">
        <f>IF('Scoring Accuracy'!G24&lt;&gt;"",'Scoring Accuracy'!G24,"")</f>
      </c>
      <c r="H25" s="34">
        <f>IF('Scoring Accuracy'!I24&lt;&gt;"",'Scoring Accuracy'!I24,"")</f>
      </c>
      <c r="I25" s="20">
        <f>IF('G1-Taste'!Z20&lt;&gt;"",'G1-Taste'!Z20*5,"")</f>
      </c>
      <c r="J25" s="22">
        <f>IF('G2-Taste'!Z20&lt;&gt;"",'G2-Taste'!Z20*5,"")</f>
      </c>
      <c r="K25" s="20">
        <f>IF('G1-Taste'!AA20&lt;&gt;"",'G1-Taste'!AA20*5,"")</f>
      </c>
      <c r="L25" s="22">
        <f>IF('G2-Taste'!AA20&lt;&gt;"",'G2-Taste'!AA20*5,"")</f>
      </c>
      <c r="M25" s="20">
        <f>IF('G1-Taste'!AB20&lt;&gt;"",'G1-Taste'!AB20*5,"")</f>
      </c>
      <c r="N25" s="22">
        <f>IF('G2-Taste'!AB20&lt;&gt;"",'G2-Taste'!AB20*5,"")</f>
      </c>
      <c r="O25" s="20">
        <f>IF('G1-Taste'!AC20&lt;&gt;"",'G1-Taste'!AC20*5,"")</f>
      </c>
      <c r="P25" s="22">
        <f>IF('G2-Taste'!AC20&lt;&gt;"",'G2-Taste'!AC20*5,"")</f>
      </c>
      <c r="Q25" s="20">
        <f>IF('Scoring Accuracy'!$H24&lt;&gt;"",'Scoring Accuracy'!P24+SUM('G1-Taste'!B20:E20),"")</f>
      </c>
      <c r="R25" s="22">
        <f>IF('Scoring Accuracy'!$H24&lt;&gt;"",'Scoring Accuracy'!P24+SUM('G2-Taste'!B20:E20),"")</f>
      </c>
      <c r="S25" s="20">
        <f>IF('Scoring Accuracy'!$H24&lt;&gt;"",'Scoring Accuracy'!Q24+SUM('G1-Taste'!F20:I20),"")</f>
      </c>
      <c r="T25" s="22">
        <f>IF('Scoring Accuracy'!$H24&lt;&gt;"",'Scoring Accuracy'!Q24+SUM('G2-Taste'!F20:I20),"")</f>
      </c>
      <c r="U25" s="20">
        <f>IF('Scoring Accuracy'!$H24&lt;&gt;"",'Scoring Accuracy'!R24+SUM('G1-Taste'!J20:M20),"")</f>
      </c>
      <c r="V25" s="22">
        <f>IF('Scoring Accuracy'!$H24&lt;&gt;"",'Scoring Accuracy'!R24+SUM('G2-Taste'!J20:M20),"")</f>
      </c>
      <c r="W25" s="20">
        <f>IF('Scoring Accuracy'!$H24&lt;&gt;"",'Scoring Accuracy'!S24+SUM('G1-Taste'!N20:Q20),"")</f>
      </c>
      <c r="X25" s="22">
        <f>IF('Scoring Accuracy'!$H24&lt;&gt;"",'Scoring Accuracy'!S24+SUM('G2-Taste'!N20:Q20),"")</f>
      </c>
      <c r="Y25" s="20">
        <f>IF('Scoring Accuracy'!$H24&lt;&gt;"",'Scoring Accuracy'!T24+SUM('G1-Taste'!R20:U20),"")</f>
      </c>
      <c r="Z25" s="22">
        <f>IF('Scoring Accuracy'!$H24&lt;&gt;"",'Scoring Accuracy'!T24+SUM('G2-Taste'!R20:U20),"")</f>
      </c>
      <c r="AA25" s="20">
        <f>IF('Scoring Accuracy'!$H24&lt;&gt;"",'Scoring Accuracy'!U24+SUM('G1-Taste'!V20:Y20),"")</f>
      </c>
      <c r="AB25" s="32">
        <f>IF('Scoring Accuracy'!$H24&lt;&gt;"",'Scoring Accuracy'!U24+SUM('G2-Taste'!V20:Y20),"")</f>
      </c>
      <c r="AC25" s="36">
        <f>IF('G1-Taste'!AC20&lt;&gt;"",'G1-Taste'!AD20+H25/5,"")</f>
      </c>
      <c r="AD25" s="37">
        <f>IF('G2-Taste'!AD20&lt;&gt;"",'G2-Taste'!AD20+H25/5,"")</f>
      </c>
      <c r="AE25" s="41">
        <f t="shared" si="0"/>
      </c>
      <c r="AF25" s="38"/>
    </row>
    <row r="26" spans="1:32" ht="12.75">
      <c r="A26" s="109">
        <v>17</v>
      </c>
      <c r="B26" s="25">
        <f>IF('Scoring Accuracy'!B25&lt;&gt;"",'Scoring Accuracy'!B25,"")</f>
      </c>
      <c r="C26" s="25">
        <f>IF('Scoring Accuracy'!C25&lt;&gt;"",'Scoring Accuracy'!C25,"")</f>
      </c>
      <c r="D26" s="25">
        <f>IF('Scoring Accuracy'!D25&lt;&gt;"",'Scoring Accuracy'!D25,"")</f>
      </c>
      <c r="E26" s="25">
        <f>IF('Scoring Accuracy'!E25&lt;&gt;"",'Scoring Accuracy'!E25,"")</f>
      </c>
      <c r="F26" s="25">
        <f>IF('Scoring Accuracy'!F25&lt;&gt;"",'Scoring Accuracy'!F25,"")</f>
      </c>
      <c r="G26" s="25">
        <f>IF('Scoring Accuracy'!G25&lt;&gt;"",'Scoring Accuracy'!G25,"")</f>
      </c>
      <c r="H26" s="34">
        <f>IF('Scoring Accuracy'!I25&lt;&gt;"",'Scoring Accuracy'!I25,"")</f>
      </c>
      <c r="I26" s="20">
        <f>IF('G1-Taste'!Z21&lt;&gt;"",'G1-Taste'!Z21*5,"")</f>
      </c>
      <c r="J26" s="22">
        <f>IF('G2-Taste'!Z21&lt;&gt;"",'G2-Taste'!Z21*5,"")</f>
      </c>
      <c r="K26" s="20">
        <f>IF('G1-Taste'!AA21&lt;&gt;"",'G1-Taste'!AA21*5,"")</f>
      </c>
      <c r="L26" s="22">
        <f>IF('G2-Taste'!AA21&lt;&gt;"",'G2-Taste'!AA21*5,"")</f>
      </c>
      <c r="M26" s="20">
        <f>IF('G1-Taste'!AB21&lt;&gt;"",'G1-Taste'!AB21*5,"")</f>
      </c>
      <c r="N26" s="22">
        <f>IF('G2-Taste'!AB21&lt;&gt;"",'G2-Taste'!AB21*5,"")</f>
      </c>
      <c r="O26" s="20">
        <f>IF('G1-Taste'!AC21&lt;&gt;"",'G1-Taste'!AC21*5,"")</f>
      </c>
      <c r="P26" s="22">
        <f>IF('G2-Taste'!AC21&lt;&gt;"",'G2-Taste'!AC21*5,"")</f>
      </c>
      <c r="Q26" s="20">
        <f>IF('Scoring Accuracy'!$H25&lt;&gt;"",'Scoring Accuracy'!P25+SUM('G1-Taste'!B21:E21),"")</f>
      </c>
      <c r="R26" s="22">
        <f>IF('Scoring Accuracy'!$H25&lt;&gt;"",'Scoring Accuracy'!P25+SUM('G2-Taste'!B21:E21),"")</f>
      </c>
      <c r="S26" s="20">
        <f>IF('Scoring Accuracy'!$H25&lt;&gt;"",'Scoring Accuracy'!Q25+SUM('G1-Taste'!F21:I21),"")</f>
      </c>
      <c r="T26" s="22">
        <f>IF('Scoring Accuracy'!$H25&lt;&gt;"",'Scoring Accuracy'!Q25+SUM('G2-Taste'!F21:I21),"")</f>
      </c>
      <c r="U26" s="20">
        <f>IF('Scoring Accuracy'!$H25&lt;&gt;"",'Scoring Accuracy'!R25+SUM('G1-Taste'!J21:M21),"")</f>
      </c>
      <c r="V26" s="22">
        <f>IF('Scoring Accuracy'!$H25&lt;&gt;"",'Scoring Accuracy'!R25+SUM('G2-Taste'!J21:M21),"")</f>
      </c>
      <c r="W26" s="20">
        <f>IF('Scoring Accuracy'!$H25&lt;&gt;"",'Scoring Accuracy'!S25+SUM('G1-Taste'!N21:Q21),"")</f>
      </c>
      <c r="X26" s="22">
        <f>IF('Scoring Accuracy'!$H25&lt;&gt;"",'Scoring Accuracy'!S25+SUM('G2-Taste'!N21:Q21),"")</f>
      </c>
      <c r="Y26" s="20">
        <f>IF('Scoring Accuracy'!$H25&lt;&gt;"",'Scoring Accuracy'!T25+SUM('G1-Taste'!R21:U21),"")</f>
      </c>
      <c r="Z26" s="22">
        <f>IF('Scoring Accuracy'!$H25&lt;&gt;"",'Scoring Accuracy'!T25+SUM('G2-Taste'!R21:U21),"")</f>
      </c>
      <c r="AA26" s="20">
        <f>IF('Scoring Accuracy'!$H25&lt;&gt;"",'Scoring Accuracy'!U25+SUM('G1-Taste'!V21:Y21),"")</f>
      </c>
      <c r="AB26" s="32">
        <f>IF('Scoring Accuracy'!$H25&lt;&gt;"",'Scoring Accuracy'!U25+SUM('G2-Taste'!V21:Y21),"")</f>
      </c>
      <c r="AC26" s="36">
        <f>IF('G1-Taste'!AC21&lt;&gt;"",'G1-Taste'!AD21+H26/5,"")</f>
      </c>
      <c r="AD26" s="37">
        <f>IF('G2-Taste'!AD21&lt;&gt;"",'G2-Taste'!AD21+H26/5,"")</f>
      </c>
      <c r="AE26" s="41">
        <f t="shared" si="0"/>
      </c>
      <c r="AF26" s="38"/>
    </row>
    <row r="27" spans="1:32" ht="12.75">
      <c r="A27" s="109">
        <v>18</v>
      </c>
      <c r="B27" s="25">
        <f>IF('Scoring Accuracy'!B26&lt;&gt;"",'Scoring Accuracy'!B26,"")</f>
      </c>
      <c r="C27" s="25">
        <f>IF('Scoring Accuracy'!C26&lt;&gt;"",'Scoring Accuracy'!C26,"")</f>
      </c>
      <c r="D27" s="25">
        <f>IF('Scoring Accuracy'!D26&lt;&gt;"",'Scoring Accuracy'!D26,"")</f>
      </c>
      <c r="E27" s="25">
        <f>IF('Scoring Accuracy'!E26&lt;&gt;"",'Scoring Accuracy'!E26,"")</f>
      </c>
      <c r="F27" s="25">
        <f>IF('Scoring Accuracy'!F26&lt;&gt;"",'Scoring Accuracy'!F26,"")</f>
      </c>
      <c r="G27" s="25">
        <f>IF('Scoring Accuracy'!G26&lt;&gt;"",'Scoring Accuracy'!G26,"")</f>
      </c>
      <c r="H27" s="34">
        <f>IF('Scoring Accuracy'!I26&lt;&gt;"",'Scoring Accuracy'!I26,"")</f>
      </c>
      <c r="I27" s="20">
        <f>IF('G1-Taste'!Z22&lt;&gt;"",'G1-Taste'!Z22*5,"")</f>
      </c>
      <c r="J27" s="22">
        <f>IF('G2-Taste'!Z22&lt;&gt;"",'G2-Taste'!Z22*5,"")</f>
      </c>
      <c r="K27" s="20">
        <f>IF('G1-Taste'!AA22&lt;&gt;"",'G1-Taste'!AA22*5,"")</f>
      </c>
      <c r="L27" s="22">
        <f>IF('G2-Taste'!AA22&lt;&gt;"",'G2-Taste'!AA22*5,"")</f>
      </c>
      <c r="M27" s="20">
        <f>IF('G1-Taste'!AB22&lt;&gt;"",'G1-Taste'!AB22*5,"")</f>
      </c>
      <c r="N27" s="22">
        <f>IF('G2-Taste'!AB22&lt;&gt;"",'G2-Taste'!AB22*5,"")</f>
      </c>
      <c r="O27" s="20">
        <f>IF('G1-Taste'!AC22&lt;&gt;"",'G1-Taste'!AC22*5,"")</f>
      </c>
      <c r="P27" s="22">
        <f>IF('G2-Taste'!AC22&lt;&gt;"",'G2-Taste'!AC22*5,"")</f>
      </c>
      <c r="Q27" s="20">
        <f>IF('Scoring Accuracy'!$H26&lt;&gt;"",'Scoring Accuracy'!P26+SUM('G1-Taste'!B22:E22),"")</f>
      </c>
      <c r="R27" s="22">
        <f>IF('Scoring Accuracy'!$H26&lt;&gt;"",'Scoring Accuracy'!P26+SUM('G2-Taste'!B22:E22),"")</f>
      </c>
      <c r="S27" s="20">
        <f>IF('Scoring Accuracy'!$H26&lt;&gt;"",'Scoring Accuracy'!Q26+SUM('G1-Taste'!F22:I22),"")</f>
      </c>
      <c r="T27" s="22">
        <f>IF('Scoring Accuracy'!$H26&lt;&gt;"",'Scoring Accuracy'!Q26+SUM('G2-Taste'!F22:I22),"")</f>
      </c>
      <c r="U27" s="20">
        <f>IF('Scoring Accuracy'!$H26&lt;&gt;"",'Scoring Accuracy'!R26+SUM('G1-Taste'!J22:M22),"")</f>
      </c>
      <c r="V27" s="22">
        <f>IF('Scoring Accuracy'!$H26&lt;&gt;"",'Scoring Accuracy'!R26+SUM('G2-Taste'!J22:M22),"")</f>
      </c>
      <c r="W27" s="20">
        <f>IF('Scoring Accuracy'!$H26&lt;&gt;"",'Scoring Accuracy'!S26+SUM('G1-Taste'!N22:Q22),"")</f>
      </c>
      <c r="X27" s="22">
        <f>IF('Scoring Accuracy'!$H26&lt;&gt;"",'Scoring Accuracy'!S26+SUM('G2-Taste'!N22:Q22),"")</f>
      </c>
      <c r="Y27" s="20">
        <f>IF('Scoring Accuracy'!$H26&lt;&gt;"",'Scoring Accuracy'!T26+SUM('G1-Taste'!R22:U22),"")</f>
      </c>
      <c r="Z27" s="22">
        <f>IF('Scoring Accuracy'!$H26&lt;&gt;"",'Scoring Accuracy'!T26+SUM('G2-Taste'!R22:U22),"")</f>
      </c>
      <c r="AA27" s="20">
        <f>IF('Scoring Accuracy'!$H26&lt;&gt;"",'Scoring Accuracy'!U26+SUM('G1-Taste'!V22:Y22),"")</f>
      </c>
      <c r="AB27" s="32">
        <f>IF('Scoring Accuracy'!$H26&lt;&gt;"",'Scoring Accuracy'!U26+SUM('G2-Taste'!V22:Y22),"")</f>
      </c>
      <c r="AC27" s="36">
        <f>IF('G1-Taste'!AC22&lt;&gt;"",'G1-Taste'!AD22+H27/5,"")</f>
      </c>
      <c r="AD27" s="37">
        <f>IF('G2-Taste'!AD22&lt;&gt;"",'G2-Taste'!AD22+H27/5,"")</f>
      </c>
      <c r="AE27" s="41">
        <f t="shared" si="0"/>
      </c>
      <c r="AF27" s="38"/>
    </row>
    <row r="28" spans="1:32" ht="12.75">
      <c r="A28" s="109">
        <v>19</v>
      </c>
      <c r="B28" s="25">
        <f>IF('Scoring Accuracy'!B27&lt;&gt;"",'Scoring Accuracy'!B27,"")</f>
      </c>
      <c r="C28" s="25">
        <f>IF('Scoring Accuracy'!C27&lt;&gt;"",'Scoring Accuracy'!C27,"")</f>
      </c>
      <c r="D28" s="25">
        <f>IF('Scoring Accuracy'!D27&lt;&gt;"",'Scoring Accuracy'!D27,"")</f>
      </c>
      <c r="E28" s="25">
        <f>IF('Scoring Accuracy'!E27&lt;&gt;"",'Scoring Accuracy'!E27,"")</f>
      </c>
      <c r="F28" s="25">
        <f>IF('Scoring Accuracy'!F27&lt;&gt;"",'Scoring Accuracy'!F27,"")</f>
      </c>
      <c r="G28" s="25">
        <f>IF('Scoring Accuracy'!G27&lt;&gt;"",'Scoring Accuracy'!G27,"")</f>
      </c>
      <c r="H28" s="34">
        <f>IF('Scoring Accuracy'!I27&lt;&gt;"",'Scoring Accuracy'!I27,"")</f>
      </c>
      <c r="I28" s="20">
        <f>IF('G1-Taste'!Z23&lt;&gt;"",'G1-Taste'!Z23*5,"")</f>
      </c>
      <c r="J28" s="22">
        <f>IF('G2-Taste'!Z23&lt;&gt;"",'G2-Taste'!Z23*5,"")</f>
      </c>
      <c r="K28" s="20">
        <f>IF('G1-Taste'!AA23&lt;&gt;"",'G1-Taste'!AA23*5,"")</f>
      </c>
      <c r="L28" s="22">
        <f>IF('G2-Taste'!AA23&lt;&gt;"",'G2-Taste'!AA23*5,"")</f>
      </c>
      <c r="M28" s="20">
        <f>IF('G1-Taste'!AB23&lt;&gt;"",'G1-Taste'!AB23*5,"")</f>
      </c>
      <c r="N28" s="22">
        <f>IF('G2-Taste'!AB23&lt;&gt;"",'G2-Taste'!AB23*5,"")</f>
      </c>
      <c r="O28" s="20">
        <f>IF('G1-Taste'!AC23&lt;&gt;"",'G1-Taste'!AC23*5,"")</f>
      </c>
      <c r="P28" s="22">
        <f>IF('G2-Taste'!AC23&lt;&gt;"",'G2-Taste'!AC23*5,"")</f>
      </c>
      <c r="Q28" s="20">
        <f>IF('Scoring Accuracy'!$H27&lt;&gt;"",'Scoring Accuracy'!P27+SUM('G1-Taste'!B23:E23),"")</f>
      </c>
      <c r="R28" s="22">
        <f>IF('Scoring Accuracy'!$H27&lt;&gt;"",'Scoring Accuracy'!P27+SUM('G2-Taste'!B23:E23),"")</f>
      </c>
      <c r="S28" s="20">
        <f>IF('Scoring Accuracy'!$H27&lt;&gt;"",'Scoring Accuracy'!Q27+SUM('G1-Taste'!F23:I23),"")</f>
      </c>
      <c r="T28" s="22">
        <f>IF('Scoring Accuracy'!$H27&lt;&gt;"",'Scoring Accuracy'!Q27+SUM('G2-Taste'!F23:I23),"")</f>
      </c>
      <c r="U28" s="20">
        <f>IF('Scoring Accuracy'!$H27&lt;&gt;"",'Scoring Accuracy'!R27+SUM('G1-Taste'!J23:M23),"")</f>
      </c>
      <c r="V28" s="22">
        <f>IF('Scoring Accuracy'!$H27&lt;&gt;"",'Scoring Accuracy'!R27+SUM('G2-Taste'!J23:M23),"")</f>
      </c>
      <c r="W28" s="20">
        <f>IF('Scoring Accuracy'!$H27&lt;&gt;"",'Scoring Accuracy'!S27+SUM('G1-Taste'!N23:Q23),"")</f>
      </c>
      <c r="X28" s="22">
        <f>IF('Scoring Accuracy'!$H27&lt;&gt;"",'Scoring Accuracy'!S27+SUM('G2-Taste'!N23:Q23),"")</f>
      </c>
      <c r="Y28" s="20">
        <f>IF('Scoring Accuracy'!$H27&lt;&gt;"",'Scoring Accuracy'!T27+SUM('G1-Taste'!R23:U23),"")</f>
      </c>
      <c r="Z28" s="22">
        <f>IF('Scoring Accuracy'!$H27&lt;&gt;"",'Scoring Accuracy'!T27+SUM('G2-Taste'!R23:U23),"")</f>
      </c>
      <c r="AA28" s="20">
        <f>IF('Scoring Accuracy'!$H27&lt;&gt;"",'Scoring Accuracy'!U27+SUM('G1-Taste'!V23:Y23),"")</f>
      </c>
      <c r="AB28" s="32">
        <f>IF('Scoring Accuracy'!$H27&lt;&gt;"",'Scoring Accuracy'!U27+SUM('G2-Taste'!V23:Y23),"")</f>
      </c>
      <c r="AC28" s="36">
        <f>IF('G1-Taste'!AC23&lt;&gt;"",'G1-Taste'!AD23+H28/5,"")</f>
      </c>
      <c r="AD28" s="37">
        <f>IF('G2-Taste'!AD23&lt;&gt;"",'G2-Taste'!AD23+H28/5,"")</f>
      </c>
      <c r="AE28" s="41">
        <f t="shared" si="0"/>
      </c>
      <c r="AF28" s="38"/>
    </row>
    <row r="29" spans="1:32" ht="12.75">
      <c r="A29" s="109">
        <v>20</v>
      </c>
      <c r="B29" s="25">
        <f>IF('Scoring Accuracy'!B28&lt;&gt;"",'Scoring Accuracy'!B28,"")</f>
      </c>
      <c r="C29" s="25">
        <f>IF('Scoring Accuracy'!C28&lt;&gt;"",'Scoring Accuracy'!C28,"")</f>
      </c>
      <c r="D29" s="25">
        <f>IF('Scoring Accuracy'!D28&lt;&gt;"",'Scoring Accuracy'!D28,"")</f>
      </c>
      <c r="E29" s="25">
        <f>IF('Scoring Accuracy'!E28&lt;&gt;"",'Scoring Accuracy'!E28,"")</f>
      </c>
      <c r="F29" s="25">
        <f>IF('Scoring Accuracy'!F28&lt;&gt;"",'Scoring Accuracy'!F28,"")</f>
      </c>
      <c r="G29" s="25">
        <f>IF('Scoring Accuracy'!G28&lt;&gt;"",'Scoring Accuracy'!G28,"")</f>
      </c>
      <c r="H29" s="34">
        <f>IF('Scoring Accuracy'!I28&lt;&gt;"",'Scoring Accuracy'!I28,"")</f>
      </c>
      <c r="I29" s="20">
        <f>IF('G1-Taste'!Z24&lt;&gt;"",'G1-Taste'!Z24*5,"")</f>
      </c>
      <c r="J29" s="22">
        <f>IF('G2-Taste'!Z24&lt;&gt;"",'G2-Taste'!Z24*5,"")</f>
      </c>
      <c r="K29" s="20">
        <f>IF('G1-Taste'!AA24&lt;&gt;"",'G1-Taste'!AA24*5,"")</f>
      </c>
      <c r="L29" s="22">
        <f>IF('G2-Taste'!AA24&lt;&gt;"",'G2-Taste'!AA24*5,"")</f>
      </c>
      <c r="M29" s="20">
        <f>IF('G1-Taste'!AB24&lt;&gt;"",'G1-Taste'!AB24*5,"")</f>
      </c>
      <c r="N29" s="22">
        <f>IF('G2-Taste'!AB24&lt;&gt;"",'G2-Taste'!AB24*5,"")</f>
      </c>
      <c r="O29" s="20">
        <f>IF('G1-Taste'!AC24&lt;&gt;"",'G1-Taste'!AC24*5,"")</f>
      </c>
      <c r="P29" s="22">
        <f>IF('G2-Taste'!AC24&lt;&gt;"",'G2-Taste'!AC24*5,"")</f>
      </c>
      <c r="Q29" s="20">
        <f>IF('Scoring Accuracy'!$H28&lt;&gt;"",'Scoring Accuracy'!P28+SUM('G1-Taste'!B24:E24),"")</f>
      </c>
      <c r="R29" s="22">
        <f>IF('Scoring Accuracy'!$H28&lt;&gt;"",'Scoring Accuracy'!P28+SUM('G2-Taste'!B24:E24),"")</f>
      </c>
      <c r="S29" s="20">
        <f>IF('Scoring Accuracy'!$H28&lt;&gt;"",'Scoring Accuracy'!Q28+SUM('G1-Taste'!F24:I24),"")</f>
      </c>
      <c r="T29" s="22">
        <f>IF('Scoring Accuracy'!$H28&lt;&gt;"",'Scoring Accuracy'!Q28+SUM('G2-Taste'!F24:I24),"")</f>
      </c>
      <c r="U29" s="20">
        <f>IF('Scoring Accuracy'!$H28&lt;&gt;"",'Scoring Accuracy'!R28+SUM('G1-Taste'!J24:M24),"")</f>
      </c>
      <c r="V29" s="22">
        <f>IF('Scoring Accuracy'!$H28&lt;&gt;"",'Scoring Accuracy'!R28+SUM('G2-Taste'!J24:M24),"")</f>
      </c>
      <c r="W29" s="20">
        <f>IF('Scoring Accuracy'!$H28&lt;&gt;"",'Scoring Accuracy'!S28+SUM('G1-Taste'!N24:Q24),"")</f>
      </c>
      <c r="X29" s="22">
        <f>IF('Scoring Accuracy'!$H28&lt;&gt;"",'Scoring Accuracy'!S28+SUM('G2-Taste'!N24:Q24),"")</f>
      </c>
      <c r="Y29" s="20">
        <f>IF('Scoring Accuracy'!$H28&lt;&gt;"",'Scoring Accuracy'!T28+SUM('G1-Taste'!R24:U24),"")</f>
      </c>
      <c r="Z29" s="22">
        <f>IF('Scoring Accuracy'!$H28&lt;&gt;"",'Scoring Accuracy'!T28+SUM('G2-Taste'!R24:U24),"")</f>
      </c>
      <c r="AA29" s="20">
        <f>IF('Scoring Accuracy'!$H28&lt;&gt;"",'Scoring Accuracy'!U28+SUM('G1-Taste'!V24:Y24),"")</f>
      </c>
      <c r="AB29" s="32">
        <f>IF('Scoring Accuracy'!$H28&lt;&gt;"",'Scoring Accuracy'!U28+SUM('G2-Taste'!V24:Y24),"")</f>
      </c>
      <c r="AC29" s="36">
        <f>IF('G1-Taste'!AC24&lt;&gt;"",'G1-Taste'!AD24+H29/5,"")</f>
      </c>
      <c r="AD29" s="37">
        <f>IF('G2-Taste'!AD24&lt;&gt;"",'G2-Taste'!AD24+H29/5,"")</f>
      </c>
      <c r="AE29" s="41">
        <f t="shared" si="0"/>
      </c>
      <c r="AF29" s="38"/>
    </row>
    <row r="30" spans="1:32" ht="12.75">
      <c r="A30" s="7">
        <v>21</v>
      </c>
      <c r="B30" s="25">
        <f>IF('Scoring Accuracy'!B29&lt;&gt;"",'Scoring Accuracy'!B29,"")</f>
      </c>
      <c r="C30" s="25">
        <f>IF('Scoring Accuracy'!C29&lt;&gt;"",'Scoring Accuracy'!C29,"")</f>
      </c>
      <c r="D30" s="25">
        <f>IF('Scoring Accuracy'!D29&lt;&gt;"",'Scoring Accuracy'!D29,"")</f>
      </c>
      <c r="E30" s="25">
        <f>IF('Scoring Accuracy'!E29&lt;&gt;"",'Scoring Accuracy'!E29,"")</f>
      </c>
      <c r="F30" s="25">
        <f>IF('Scoring Accuracy'!F29&lt;&gt;"",'Scoring Accuracy'!F29,"")</f>
      </c>
      <c r="G30" s="25">
        <f>IF('Scoring Accuracy'!G29&lt;&gt;"",'Scoring Accuracy'!G29,"")</f>
      </c>
      <c r="H30" s="34">
        <f>IF('Scoring Accuracy'!I29&lt;&gt;"",'Scoring Accuracy'!I29,"")</f>
      </c>
      <c r="I30" s="20">
        <f>IF('G1-Taste'!Z25&lt;&gt;"",'G1-Taste'!Z25*5,"")</f>
      </c>
      <c r="J30" s="22">
        <f>IF('G2-Taste'!Z25&lt;&gt;"",'G2-Taste'!Z25*5,"")</f>
      </c>
      <c r="K30" s="20">
        <f>IF('G1-Taste'!AA25&lt;&gt;"",'G1-Taste'!AA25*5,"")</f>
      </c>
      <c r="L30" s="22">
        <f>IF('G2-Taste'!AA25&lt;&gt;"",'G2-Taste'!AA25*5,"")</f>
      </c>
      <c r="M30" s="20">
        <f>IF('G1-Taste'!AB25&lt;&gt;"",'G1-Taste'!AB25*5,"")</f>
      </c>
      <c r="N30" s="22">
        <f>IF('G2-Taste'!AB25&lt;&gt;"",'G2-Taste'!AB25*5,"")</f>
      </c>
      <c r="O30" s="20">
        <f>IF('G1-Taste'!AC25&lt;&gt;"",'G1-Taste'!AC25*5,"")</f>
      </c>
      <c r="P30" s="22">
        <f>IF('G2-Taste'!AC25&lt;&gt;"",'G2-Taste'!AC25*5,"")</f>
      </c>
      <c r="Q30" s="20">
        <f>IF('Scoring Accuracy'!$H29&lt;&gt;"",'Scoring Accuracy'!P29+SUM('G1-Taste'!B25:E25),"")</f>
      </c>
      <c r="R30" s="22">
        <f>IF('Scoring Accuracy'!$H29&lt;&gt;"",'Scoring Accuracy'!P29+SUM('G2-Taste'!B25:E25),"")</f>
      </c>
      <c r="S30" s="20">
        <f>IF('Scoring Accuracy'!$H29&lt;&gt;"",'Scoring Accuracy'!Q29+SUM('G1-Taste'!F25:I25),"")</f>
      </c>
      <c r="T30" s="22">
        <f>IF('Scoring Accuracy'!$H29&lt;&gt;"",'Scoring Accuracy'!Q29+SUM('G2-Taste'!F25:I25),"")</f>
      </c>
      <c r="U30" s="20">
        <f>IF('Scoring Accuracy'!$H29&lt;&gt;"",'Scoring Accuracy'!R29+SUM('G1-Taste'!J25:M25),"")</f>
      </c>
      <c r="V30" s="22">
        <f>IF('Scoring Accuracy'!$H29&lt;&gt;"",'Scoring Accuracy'!R29+SUM('G2-Taste'!J25:M25),"")</f>
      </c>
      <c r="W30" s="20">
        <f>IF('Scoring Accuracy'!$H29&lt;&gt;"",'Scoring Accuracy'!S29+SUM('G1-Taste'!N25:Q25),"")</f>
      </c>
      <c r="X30" s="22">
        <f>IF('Scoring Accuracy'!$H29&lt;&gt;"",'Scoring Accuracy'!S29+SUM('G2-Taste'!N25:Q25),"")</f>
      </c>
      <c r="Y30" s="20">
        <f>IF('Scoring Accuracy'!$H29&lt;&gt;"",'Scoring Accuracy'!T29+SUM('G1-Taste'!R25:U25),"")</f>
      </c>
      <c r="Z30" s="22">
        <f>IF('Scoring Accuracy'!$H29&lt;&gt;"",'Scoring Accuracy'!T29+SUM('G2-Taste'!R25:U25),"")</f>
      </c>
      <c r="AA30" s="20">
        <f>IF('Scoring Accuracy'!$H29&lt;&gt;"",'Scoring Accuracy'!U29+SUM('G1-Taste'!V25:Y25),"")</f>
      </c>
      <c r="AB30" s="32">
        <f>IF('Scoring Accuracy'!$H29&lt;&gt;"",'Scoring Accuracy'!U29+SUM('G2-Taste'!V25:Y25),"")</f>
      </c>
      <c r="AC30" s="36">
        <f>IF('G1-Taste'!AC25&lt;&gt;"",'G1-Taste'!AD25+H30/5,"")</f>
      </c>
      <c r="AD30" s="37">
        <f>IF('G2-Taste'!AD25&lt;&gt;"",'G2-Taste'!AD25+H30/5,"")</f>
      </c>
      <c r="AE30" s="41">
        <f>IF(G30&lt;&gt;"",AVERAGE(AC30:AD30),"")</f>
      </c>
      <c r="AF30" s="38"/>
    </row>
    <row r="31" spans="1:32" ht="12.75">
      <c r="A31" s="7">
        <v>22</v>
      </c>
      <c r="B31" s="25">
        <f>IF('Scoring Accuracy'!B30&lt;&gt;"",'Scoring Accuracy'!B30,"")</f>
      </c>
      <c r="C31" s="25">
        <f>IF('Scoring Accuracy'!C30&lt;&gt;"",'Scoring Accuracy'!C30,"")</f>
      </c>
      <c r="D31" s="25">
        <f>IF('Scoring Accuracy'!D30&lt;&gt;"",'Scoring Accuracy'!D30,"")</f>
      </c>
      <c r="E31" s="25">
        <f>IF('Scoring Accuracy'!E30&lt;&gt;"",'Scoring Accuracy'!E30,"")</f>
      </c>
      <c r="F31" s="25">
        <f>IF('Scoring Accuracy'!F30&lt;&gt;"",'Scoring Accuracy'!F30,"")</f>
      </c>
      <c r="G31" s="25">
        <f>IF('Scoring Accuracy'!G30&lt;&gt;"",'Scoring Accuracy'!G30,"")</f>
      </c>
      <c r="H31" s="34">
        <f>IF('Scoring Accuracy'!I30&lt;&gt;"",'Scoring Accuracy'!I30,"")</f>
      </c>
      <c r="I31" s="20">
        <f>IF('G1-Taste'!Z26&lt;&gt;"",'G1-Taste'!Z26*5,"")</f>
      </c>
      <c r="J31" s="22">
        <f>IF('G2-Taste'!Z26&lt;&gt;"",'G2-Taste'!Z26*5,"")</f>
      </c>
      <c r="K31" s="20">
        <f>IF('G1-Taste'!AA26&lt;&gt;"",'G1-Taste'!AA26*5,"")</f>
      </c>
      <c r="L31" s="22">
        <f>IF('G2-Taste'!AA26&lt;&gt;"",'G2-Taste'!AA26*5,"")</f>
      </c>
      <c r="M31" s="20">
        <f>IF('G1-Taste'!AB26&lt;&gt;"",'G1-Taste'!AB26*5,"")</f>
      </c>
      <c r="N31" s="22">
        <f>IF('G2-Taste'!AB26&lt;&gt;"",'G2-Taste'!AB26*5,"")</f>
      </c>
      <c r="O31" s="20">
        <f>IF('G1-Taste'!AC26&lt;&gt;"",'G1-Taste'!AC26*5,"")</f>
      </c>
      <c r="P31" s="22">
        <f>IF('G2-Taste'!AC26&lt;&gt;"",'G2-Taste'!AC26*5,"")</f>
      </c>
      <c r="Q31" s="20">
        <f>IF('Scoring Accuracy'!$H30&lt;&gt;"",'Scoring Accuracy'!P30+SUM('G1-Taste'!B26:E26),"")</f>
      </c>
      <c r="R31" s="22">
        <f>IF('Scoring Accuracy'!$H30&lt;&gt;"",'Scoring Accuracy'!P30+SUM('G2-Taste'!B26:E26),"")</f>
      </c>
      <c r="S31" s="20">
        <f>IF('Scoring Accuracy'!$H30&lt;&gt;"",'Scoring Accuracy'!Q30+SUM('G1-Taste'!F26:I26),"")</f>
      </c>
      <c r="T31" s="22">
        <f>IF('Scoring Accuracy'!$H30&lt;&gt;"",'Scoring Accuracy'!Q30+SUM('G2-Taste'!F26:I26),"")</f>
      </c>
      <c r="U31" s="20">
        <f>IF('Scoring Accuracy'!$H30&lt;&gt;"",'Scoring Accuracy'!R30+SUM('G1-Taste'!J26:M26),"")</f>
      </c>
      <c r="V31" s="22">
        <f>IF('Scoring Accuracy'!$H30&lt;&gt;"",'Scoring Accuracy'!R30+SUM('G2-Taste'!J26:M26),"")</f>
      </c>
      <c r="W31" s="20">
        <f>IF('Scoring Accuracy'!$H30&lt;&gt;"",'Scoring Accuracy'!S30+SUM('G1-Taste'!N26:Q26),"")</f>
      </c>
      <c r="X31" s="22">
        <f>IF('Scoring Accuracy'!$H30&lt;&gt;"",'Scoring Accuracy'!S30+SUM('G2-Taste'!N26:Q26),"")</f>
      </c>
      <c r="Y31" s="20">
        <f>IF('Scoring Accuracy'!$H30&lt;&gt;"",'Scoring Accuracy'!T30+SUM('G1-Taste'!R26:U26),"")</f>
      </c>
      <c r="Z31" s="22">
        <f>IF('Scoring Accuracy'!$H30&lt;&gt;"",'Scoring Accuracy'!T30+SUM('G2-Taste'!R26:U26),"")</f>
      </c>
      <c r="AA31" s="20">
        <f>IF('Scoring Accuracy'!$H30&lt;&gt;"",'Scoring Accuracy'!U30+SUM('G1-Taste'!V26:Y26),"")</f>
      </c>
      <c r="AB31" s="32">
        <f>IF('Scoring Accuracy'!$H30&lt;&gt;"",'Scoring Accuracy'!U30+SUM('G2-Taste'!V26:Y26),"")</f>
      </c>
      <c r="AC31" s="36">
        <f>IF('G1-Taste'!AC26&lt;&gt;"",'G1-Taste'!AD26+H31/5,"")</f>
      </c>
      <c r="AD31" s="37">
        <f>IF('G2-Taste'!AD26&lt;&gt;"",'G2-Taste'!AD26+H31/5,"")</f>
      </c>
      <c r="AE31" s="41">
        <f>IF(G31&lt;&gt;"",AVERAGE(AC31:AD31),"")</f>
      </c>
      <c r="AF31" s="38"/>
    </row>
    <row r="32" spans="1:32" ht="12.75">
      <c r="A32" s="7">
        <v>23</v>
      </c>
      <c r="B32" s="25">
        <f>IF('Scoring Accuracy'!B31&lt;&gt;"",'Scoring Accuracy'!B31,"")</f>
      </c>
      <c r="C32" s="25">
        <f>IF('Scoring Accuracy'!C31&lt;&gt;"",'Scoring Accuracy'!C31,"")</f>
      </c>
      <c r="D32" s="25">
        <f>IF('Scoring Accuracy'!D31&lt;&gt;"",'Scoring Accuracy'!D31,"")</f>
      </c>
      <c r="E32" s="25">
        <f>IF('Scoring Accuracy'!E31&lt;&gt;"",'Scoring Accuracy'!E31,"")</f>
      </c>
      <c r="F32" s="25">
        <f>IF('Scoring Accuracy'!F31&lt;&gt;"",'Scoring Accuracy'!F31,"")</f>
      </c>
      <c r="G32" s="25">
        <f>IF('Scoring Accuracy'!G31&lt;&gt;"",'Scoring Accuracy'!G31,"")</f>
      </c>
      <c r="H32" s="34">
        <f>IF('Scoring Accuracy'!I31&lt;&gt;"",'Scoring Accuracy'!I31,"")</f>
      </c>
      <c r="I32" s="20">
        <f>IF('G1-Taste'!Z27&lt;&gt;"",'G1-Taste'!Z27*5,"")</f>
      </c>
      <c r="J32" s="22">
        <f>IF('G2-Taste'!Z27&lt;&gt;"",'G2-Taste'!Z27*5,"")</f>
      </c>
      <c r="K32" s="20">
        <f>IF('G1-Taste'!AA27&lt;&gt;"",'G1-Taste'!AA27*5,"")</f>
      </c>
      <c r="L32" s="22">
        <f>IF('G2-Taste'!AA27&lt;&gt;"",'G2-Taste'!AA27*5,"")</f>
      </c>
      <c r="M32" s="20">
        <f>IF('G1-Taste'!AB27&lt;&gt;"",'G1-Taste'!AB27*5,"")</f>
      </c>
      <c r="N32" s="22">
        <f>IF('G2-Taste'!AB27&lt;&gt;"",'G2-Taste'!AB27*5,"")</f>
      </c>
      <c r="O32" s="20">
        <f>IF('G1-Taste'!AC27&lt;&gt;"",'G1-Taste'!AC27*5,"")</f>
      </c>
      <c r="P32" s="22">
        <f>IF('G2-Taste'!AC27&lt;&gt;"",'G2-Taste'!AC27*5,"")</f>
      </c>
      <c r="Q32" s="20">
        <f>IF('Scoring Accuracy'!$H31&lt;&gt;"",'Scoring Accuracy'!P31+SUM('G1-Taste'!B27:E27),"")</f>
      </c>
      <c r="R32" s="22">
        <f>IF('Scoring Accuracy'!$H31&lt;&gt;"",'Scoring Accuracy'!P31+SUM('G2-Taste'!B27:E27),"")</f>
      </c>
      <c r="S32" s="20">
        <f>IF('Scoring Accuracy'!$H31&lt;&gt;"",'Scoring Accuracy'!Q31+SUM('G1-Taste'!F27:I27),"")</f>
      </c>
      <c r="T32" s="22">
        <f>IF('Scoring Accuracy'!$H31&lt;&gt;"",'Scoring Accuracy'!Q31+SUM('G2-Taste'!F27:I27),"")</f>
      </c>
      <c r="U32" s="20">
        <f>IF('Scoring Accuracy'!$H31&lt;&gt;"",'Scoring Accuracy'!R31+SUM('G1-Taste'!J27:M27),"")</f>
      </c>
      <c r="V32" s="22">
        <f>IF('Scoring Accuracy'!$H31&lt;&gt;"",'Scoring Accuracy'!R31+SUM('G2-Taste'!J27:M27),"")</f>
      </c>
      <c r="W32" s="20">
        <f>IF('Scoring Accuracy'!$H31&lt;&gt;"",'Scoring Accuracy'!S31+SUM('G1-Taste'!N27:Q27),"")</f>
      </c>
      <c r="X32" s="22">
        <f>IF('Scoring Accuracy'!$H31&lt;&gt;"",'Scoring Accuracy'!S31+SUM('G2-Taste'!N27:Q27),"")</f>
      </c>
      <c r="Y32" s="20">
        <f>IF('Scoring Accuracy'!$H31&lt;&gt;"",'Scoring Accuracy'!T31+SUM('G1-Taste'!R27:U27),"")</f>
      </c>
      <c r="Z32" s="22">
        <f>IF('Scoring Accuracy'!$H31&lt;&gt;"",'Scoring Accuracy'!T31+SUM('G2-Taste'!R27:U27),"")</f>
      </c>
      <c r="AA32" s="20">
        <f>IF('Scoring Accuracy'!$H31&lt;&gt;"",'Scoring Accuracy'!U31+SUM('G1-Taste'!V27:Y27),"")</f>
      </c>
      <c r="AB32" s="32">
        <f>IF('Scoring Accuracy'!$H31&lt;&gt;"",'Scoring Accuracy'!U31+SUM('G2-Taste'!V27:Y27),"")</f>
      </c>
      <c r="AC32" s="36">
        <f>IF('G1-Taste'!AC27&lt;&gt;"",'G1-Taste'!AD27+H32/5,"")</f>
      </c>
      <c r="AD32" s="37">
        <f>IF('G2-Taste'!AD27&lt;&gt;"",'G2-Taste'!AD27+H32/5,"")</f>
      </c>
      <c r="AE32" s="41">
        <f>IF(G32&lt;&gt;"",AVERAGE(AC32:AD32),"")</f>
      </c>
      <c r="AF32" s="38"/>
    </row>
    <row r="33" spans="1:32" ht="12.75">
      <c r="A33" s="7">
        <v>24</v>
      </c>
      <c r="B33" s="25">
        <f>IF('Scoring Accuracy'!B32&lt;&gt;"",'Scoring Accuracy'!B32,"")</f>
      </c>
      <c r="C33" s="25">
        <f>IF('Scoring Accuracy'!C32&lt;&gt;"",'Scoring Accuracy'!C32,"")</f>
      </c>
      <c r="D33" s="25">
        <f>IF('Scoring Accuracy'!D32&lt;&gt;"",'Scoring Accuracy'!D32,"")</f>
      </c>
      <c r="E33" s="25">
        <f>IF('Scoring Accuracy'!E32&lt;&gt;"",'Scoring Accuracy'!E32,"")</f>
      </c>
      <c r="F33" s="25">
        <f>IF('Scoring Accuracy'!F32&lt;&gt;"",'Scoring Accuracy'!F32,"")</f>
      </c>
      <c r="G33" s="25">
        <f>IF('Scoring Accuracy'!G32&lt;&gt;"",'Scoring Accuracy'!G32,"")</f>
      </c>
      <c r="H33" s="34">
        <f>IF('Scoring Accuracy'!I32&lt;&gt;"",'Scoring Accuracy'!I32,"")</f>
      </c>
      <c r="I33" s="20">
        <f>IF('G1-Taste'!Z28&lt;&gt;"",'G1-Taste'!Z28*5,"")</f>
      </c>
      <c r="J33" s="22">
        <f>IF('G2-Taste'!Z28&lt;&gt;"",'G2-Taste'!Z28*5,"")</f>
      </c>
      <c r="K33" s="20">
        <f>IF('G1-Taste'!AA28&lt;&gt;"",'G1-Taste'!AA28*5,"")</f>
      </c>
      <c r="L33" s="22">
        <f>IF('G2-Taste'!AA28&lt;&gt;"",'G2-Taste'!AA28*5,"")</f>
      </c>
      <c r="M33" s="20">
        <f>IF('G1-Taste'!AB28&lt;&gt;"",'G1-Taste'!AB28*5,"")</f>
      </c>
      <c r="N33" s="22">
        <f>IF('G2-Taste'!AB28&lt;&gt;"",'G2-Taste'!AB28*5,"")</f>
      </c>
      <c r="O33" s="20">
        <f>IF('G1-Taste'!AC28&lt;&gt;"",'G1-Taste'!AC28*5,"")</f>
      </c>
      <c r="P33" s="22">
        <f>IF('G2-Taste'!AC28&lt;&gt;"",'G2-Taste'!AC28*5,"")</f>
      </c>
      <c r="Q33" s="20">
        <f>IF('Scoring Accuracy'!$H32&lt;&gt;"",'Scoring Accuracy'!P32+SUM('G1-Taste'!B28:E28),"")</f>
      </c>
      <c r="R33" s="22">
        <f>IF('Scoring Accuracy'!$H32&lt;&gt;"",'Scoring Accuracy'!P32+SUM('G2-Taste'!B28:E28),"")</f>
      </c>
      <c r="S33" s="20">
        <f>IF('Scoring Accuracy'!$H32&lt;&gt;"",'Scoring Accuracy'!Q32+SUM('G1-Taste'!F28:I28),"")</f>
      </c>
      <c r="T33" s="22">
        <f>IF('Scoring Accuracy'!$H32&lt;&gt;"",'Scoring Accuracy'!Q32+SUM('G2-Taste'!F28:I28),"")</f>
      </c>
      <c r="U33" s="20">
        <f>IF('Scoring Accuracy'!$H32&lt;&gt;"",'Scoring Accuracy'!R32+SUM('G1-Taste'!J28:M28),"")</f>
      </c>
      <c r="V33" s="22">
        <f>IF('Scoring Accuracy'!$H32&lt;&gt;"",'Scoring Accuracy'!R32+SUM('G2-Taste'!J28:M28),"")</f>
      </c>
      <c r="W33" s="20">
        <f>IF('Scoring Accuracy'!$H32&lt;&gt;"",'Scoring Accuracy'!S32+SUM('G1-Taste'!N28:Q28),"")</f>
      </c>
      <c r="X33" s="22">
        <f>IF('Scoring Accuracy'!$H32&lt;&gt;"",'Scoring Accuracy'!S32+SUM('G2-Taste'!N28:Q28),"")</f>
      </c>
      <c r="Y33" s="20">
        <f>IF('Scoring Accuracy'!$H32&lt;&gt;"",'Scoring Accuracy'!T32+SUM('G1-Taste'!R28:U28),"")</f>
      </c>
      <c r="Z33" s="22">
        <f>IF('Scoring Accuracy'!$H32&lt;&gt;"",'Scoring Accuracy'!T32+SUM('G2-Taste'!R28:U28),"")</f>
      </c>
      <c r="AA33" s="20">
        <f>IF('Scoring Accuracy'!$H32&lt;&gt;"",'Scoring Accuracy'!U32+SUM('G1-Taste'!V28:Y28),"")</f>
      </c>
      <c r="AB33" s="32">
        <f>IF('Scoring Accuracy'!$H32&lt;&gt;"",'Scoring Accuracy'!U32+SUM('G2-Taste'!V28:Y28),"")</f>
      </c>
      <c r="AC33" s="36">
        <f>IF('G1-Taste'!AC28&lt;&gt;"",'G1-Taste'!AD28+H33/5,"")</f>
      </c>
      <c r="AD33" s="37">
        <f>IF('G2-Taste'!AD28&lt;&gt;"",'G2-Taste'!AD28+H33/5,"")</f>
      </c>
      <c r="AE33" s="41">
        <f>IF(G33&lt;&gt;"",AVERAGE(AC33:AD33),"")</f>
      </c>
      <c r="AF33" s="38"/>
    </row>
  </sheetData>
  <sheetProtection/>
  <mergeCells count="27">
    <mergeCell ref="I7:J7"/>
    <mergeCell ref="B2:O2"/>
    <mergeCell ref="U3:Y3"/>
    <mergeCell ref="B6:G6"/>
    <mergeCell ref="M3:S3"/>
    <mergeCell ref="E3:K3"/>
    <mergeCell ref="A4:D4"/>
    <mergeCell ref="A5:D5"/>
    <mergeCell ref="E4:K4"/>
    <mergeCell ref="K7:L7"/>
    <mergeCell ref="M7:N7"/>
    <mergeCell ref="O7:P7"/>
    <mergeCell ref="Y7:Z7"/>
    <mergeCell ref="U7:V7"/>
    <mergeCell ref="W7:X7"/>
    <mergeCell ref="S7:T7"/>
    <mergeCell ref="Q7:R7"/>
    <mergeCell ref="AA7:AB7"/>
    <mergeCell ref="E5:AA5"/>
    <mergeCell ref="AF6:AF7"/>
    <mergeCell ref="AE6:AE7"/>
    <mergeCell ref="AC3:AE5"/>
    <mergeCell ref="M4:S4"/>
    <mergeCell ref="AC6:AC7"/>
    <mergeCell ref="AD6:AD7"/>
    <mergeCell ref="Q6:AB6"/>
    <mergeCell ref="H6:P6"/>
  </mergeCells>
  <printOptions/>
  <pageMargins left="0.75" right="0.5" top="1" bottom="0.5" header="0" footer="0"/>
  <pageSetup orientation="landscape" r:id="rId2"/>
  <headerFooter alignWithMargins="0">
    <oddFooter>&amp;LRevised 4/22/2013&amp;CPage &amp;P of &amp;N</oddFooter>
  </headerFooter>
  <drawing r:id="rId1"/>
</worksheet>
</file>

<file path=xl/worksheets/sheet7.xml><?xml version="1.0" encoding="utf-8"?>
<worksheet xmlns="http://schemas.openxmlformats.org/spreadsheetml/2006/main" xmlns:r="http://schemas.openxmlformats.org/officeDocument/2006/relationships">
  <dimension ref="A1:AE28"/>
  <sheetViews>
    <sheetView zoomScalePageLayoutView="0" workbookViewId="0" topLeftCell="A1">
      <selection activeCell="B5" sqref="B5"/>
    </sheetView>
  </sheetViews>
  <sheetFormatPr defaultColWidth="10.75390625" defaultRowHeight="12.75"/>
  <cols>
    <col min="1" max="1" width="10.75390625" style="3" customWidth="1"/>
    <col min="2" max="2" width="5.50390625" style="3" customWidth="1"/>
    <col min="3" max="5" width="5.50390625" style="3" bestFit="1" customWidth="1"/>
    <col min="6" max="7" width="4.625" style="3" customWidth="1"/>
    <col min="8" max="11" width="5.50390625" style="3" bestFit="1" customWidth="1"/>
    <col min="12" max="13" width="4.625" style="3" customWidth="1"/>
    <col min="14" max="17" width="5.50390625" style="3" bestFit="1" customWidth="1"/>
    <col min="18" max="19" width="4.625" style="3" customWidth="1"/>
    <col min="20" max="23" width="5.50390625" style="3" bestFit="1" customWidth="1"/>
    <col min="24" max="25" width="4.625" style="3" customWidth="1"/>
    <col min="26" max="29" width="4.625" style="3" bestFit="1" customWidth="1"/>
    <col min="30" max="30" width="6.125" style="3" bestFit="1" customWidth="1"/>
    <col min="31" max="31" width="7.75390625" style="3" customWidth="1"/>
    <col min="32" max="16384" width="10.75390625" style="3" customWidth="1"/>
  </cols>
  <sheetData>
    <row r="1" spans="1:29" ht="12.75">
      <c r="A1" s="2"/>
      <c r="B1" s="2"/>
      <c r="C1" s="2"/>
      <c r="D1" s="2"/>
      <c r="Z1" s="237" t="s">
        <v>14</v>
      </c>
      <c r="AA1" s="237"/>
      <c r="AB1" s="237"/>
      <c r="AC1" s="237"/>
    </row>
    <row r="2" spans="2:29" ht="13.5" thickBot="1">
      <c r="B2" s="182" t="s">
        <v>114</v>
      </c>
      <c r="C2" s="182"/>
      <c r="D2" s="182"/>
      <c r="E2" s="182"/>
      <c r="F2" s="182"/>
      <c r="G2" s="182"/>
      <c r="H2" s="182"/>
      <c r="I2" s="182"/>
      <c r="J2" s="182"/>
      <c r="K2" s="182"/>
      <c r="L2" s="182"/>
      <c r="M2" s="182"/>
      <c r="N2" s="182"/>
      <c r="O2" s="182"/>
      <c r="P2" s="182"/>
      <c r="Q2" s="182"/>
      <c r="R2" s="182"/>
      <c r="S2" s="182"/>
      <c r="T2" s="182"/>
      <c r="U2" s="182"/>
      <c r="V2" s="182"/>
      <c r="W2" s="182"/>
      <c r="X2" s="110"/>
      <c r="Y2" s="110"/>
      <c r="Z2" s="238" t="s">
        <v>12</v>
      </c>
      <c r="AA2" s="239"/>
      <c r="AB2" s="239"/>
      <c r="AC2" s="240"/>
    </row>
    <row r="3" spans="1:31" s="2" customFormat="1" ht="12.75">
      <c r="A3" s="111" t="s">
        <v>18</v>
      </c>
      <c r="B3" s="198" t="str">
        <f>BeerName1</f>
        <v>Style1</v>
      </c>
      <c r="C3" s="199"/>
      <c r="D3" s="199"/>
      <c r="E3" s="200"/>
      <c r="F3" s="195" t="str">
        <f>BeerName2</f>
        <v>Style2</v>
      </c>
      <c r="G3" s="196"/>
      <c r="H3" s="196"/>
      <c r="I3" s="197"/>
      <c r="J3" s="192" t="str">
        <f>BeerName3</f>
        <v>Style3</v>
      </c>
      <c r="K3" s="193"/>
      <c r="L3" s="193"/>
      <c r="M3" s="194"/>
      <c r="N3" s="198" t="str">
        <f>BeerName4</f>
        <v>Style4</v>
      </c>
      <c r="O3" s="199"/>
      <c r="P3" s="199"/>
      <c r="Q3" s="200"/>
      <c r="R3" s="195" t="str">
        <f>BeerName5</f>
        <v>Style5</v>
      </c>
      <c r="S3" s="196"/>
      <c r="T3" s="196"/>
      <c r="U3" s="197"/>
      <c r="V3" s="183" t="str">
        <f>BeerName6</f>
        <v>Style6</v>
      </c>
      <c r="W3" s="184"/>
      <c r="X3" s="184"/>
      <c r="Y3" s="185"/>
      <c r="Z3" s="45" t="s">
        <v>8</v>
      </c>
      <c r="AA3" s="45" t="s">
        <v>9</v>
      </c>
      <c r="AB3" s="45" t="s">
        <v>10</v>
      </c>
      <c r="AC3" s="45" t="s">
        <v>11</v>
      </c>
      <c r="AD3" s="112" t="s">
        <v>6</v>
      </c>
      <c r="AE3" s="113" t="s">
        <v>39</v>
      </c>
    </row>
    <row r="4" spans="1:31" ht="12.75">
      <c r="A4" s="114"/>
      <c r="B4" s="115" t="s">
        <v>8</v>
      </c>
      <c r="C4" s="115" t="s">
        <v>9</v>
      </c>
      <c r="D4" s="115" t="s">
        <v>10</v>
      </c>
      <c r="E4" s="115" t="s">
        <v>11</v>
      </c>
      <c r="F4" s="116" t="s">
        <v>8</v>
      </c>
      <c r="G4" s="116" t="s">
        <v>9</v>
      </c>
      <c r="H4" s="116" t="s">
        <v>10</v>
      </c>
      <c r="I4" s="116" t="s">
        <v>11</v>
      </c>
      <c r="J4" s="117" t="s">
        <v>8</v>
      </c>
      <c r="K4" s="117" t="s">
        <v>9</v>
      </c>
      <c r="L4" s="117" t="s">
        <v>10</v>
      </c>
      <c r="M4" s="117" t="s">
        <v>11</v>
      </c>
      <c r="N4" s="115" t="s">
        <v>8</v>
      </c>
      <c r="O4" s="115" t="s">
        <v>9</v>
      </c>
      <c r="P4" s="115" t="s">
        <v>10</v>
      </c>
      <c r="Q4" s="115" t="s">
        <v>11</v>
      </c>
      <c r="R4" s="116" t="s">
        <v>8</v>
      </c>
      <c r="S4" s="116" t="s">
        <v>9</v>
      </c>
      <c r="T4" s="116" t="s">
        <v>10</v>
      </c>
      <c r="U4" s="116" t="s">
        <v>11</v>
      </c>
      <c r="V4" s="118" t="s">
        <v>8</v>
      </c>
      <c r="W4" s="118" t="s">
        <v>9</v>
      </c>
      <c r="X4" s="118" t="s">
        <v>10</v>
      </c>
      <c r="Y4" s="118" t="s">
        <v>11</v>
      </c>
      <c r="Z4" s="117"/>
      <c r="AA4" s="117"/>
      <c r="AB4" s="117"/>
      <c r="AC4" s="117"/>
      <c r="AD4" s="118">
        <v>80</v>
      </c>
      <c r="AE4" s="113">
        <v>100</v>
      </c>
    </row>
    <row r="5" spans="1:31" ht="12.75">
      <c r="A5" s="76">
        <f>IF(Exam_01=0,"",Exam_01)</f>
        <v>1</v>
      </c>
      <c r="B5" s="119" t="e">
        <f>AVERAGE('G1-Taste'!B5,'G2-Taste'!B5)</f>
        <v>#DIV/0!</v>
      </c>
      <c r="C5" s="119" t="e">
        <f>AVERAGE('G1-Taste'!C5,'G2-Taste'!C5)</f>
        <v>#DIV/0!</v>
      </c>
      <c r="D5" s="119" t="e">
        <f>AVERAGE('G1-Taste'!D5,'G2-Taste'!D5)</f>
        <v>#DIV/0!</v>
      </c>
      <c r="E5" s="119" t="e">
        <f>AVERAGE('G1-Taste'!E5,'G2-Taste'!E5)</f>
        <v>#DIV/0!</v>
      </c>
      <c r="F5" s="120" t="e">
        <f>AVERAGE('G1-Taste'!F5,'G2-Taste'!F5)</f>
        <v>#DIV/0!</v>
      </c>
      <c r="G5" s="120" t="e">
        <f>AVERAGE('G1-Taste'!G5,'G2-Taste'!G5)</f>
        <v>#DIV/0!</v>
      </c>
      <c r="H5" s="120" t="e">
        <f>AVERAGE('G1-Taste'!H5,'G2-Taste'!H5)</f>
        <v>#DIV/0!</v>
      </c>
      <c r="I5" s="120" t="e">
        <f>AVERAGE('G1-Taste'!I5,'G2-Taste'!I5)</f>
        <v>#DIV/0!</v>
      </c>
      <c r="J5" s="121" t="e">
        <f>AVERAGE('G1-Taste'!J5,'G2-Taste'!J5)</f>
        <v>#DIV/0!</v>
      </c>
      <c r="K5" s="121" t="e">
        <f>AVERAGE('G1-Taste'!K5,'G2-Taste'!K5)</f>
        <v>#DIV/0!</v>
      </c>
      <c r="L5" s="121" t="e">
        <f>AVERAGE('G1-Taste'!L5,'G2-Taste'!L5)</f>
        <v>#DIV/0!</v>
      </c>
      <c r="M5" s="121" t="e">
        <f>AVERAGE('G1-Taste'!M5,'G2-Taste'!M5)</f>
        <v>#DIV/0!</v>
      </c>
      <c r="N5" s="119" t="e">
        <f>AVERAGE('G1-Taste'!N5,'G2-Taste'!N5)</f>
        <v>#DIV/0!</v>
      </c>
      <c r="O5" s="119" t="e">
        <f>AVERAGE('G1-Taste'!O5,'G2-Taste'!O5)</f>
        <v>#DIV/0!</v>
      </c>
      <c r="P5" s="119" t="e">
        <f>AVERAGE('G1-Taste'!P5,'G2-Taste'!P5)</f>
        <v>#DIV/0!</v>
      </c>
      <c r="Q5" s="119" t="e">
        <f>AVERAGE('G1-Taste'!Q5,'G2-Taste'!Q5)</f>
        <v>#DIV/0!</v>
      </c>
      <c r="R5" s="120" t="e">
        <f>AVERAGE('G1-Taste'!R5,'G2-Taste'!R5)</f>
        <v>#DIV/0!</v>
      </c>
      <c r="S5" s="120" t="e">
        <f>AVERAGE('G1-Taste'!S5,'G2-Taste'!S5)</f>
        <v>#DIV/0!</v>
      </c>
      <c r="T5" s="120" t="e">
        <f>AVERAGE('G1-Taste'!T5,'G2-Taste'!T5)</f>
        <v>#DIV/0!</v>
      </c>
      <c r="U5" s="120" t="e">
        <f>AVERAGE('G1-Taste'!U5,'G2-Taste'!U5)</f>
        <v>#DIV/0!</v>
      </c>
      <c r="V5" s="122" t="e">
        <f>AVERAGE('G1-Taste'!V5,'G2-Taste'!V5)</f>
        <v>#DIV/0!</v>
      </c>
      <c r="W5" s="122" t="e">
        <f>AVERAGE('G1-Taste'!W5,'G2-Taste'!W5)</f>
        <v>#DIV/0!</v>
      </c>
      <c r="X5" s="122" t="e">
        <f>AVERAGE('G1-Taste'!X5,'G2-Taste'!X5)</f>
        <v>#DIV/0!</v>
      </c>
      <c r="Y5" s="122" t="e">
        <f>AVERAGE('G1-Taste'!Y5,'G2-Taste'!Y5)</f>
        <v>#DIV/0!</v>
      </c>
      <c r="Z5" s="79" t="e">
        <f aca="true" t="shared" si="0" ref="Z5:AC28">IF(V5&lt;&gt;"",AVERAGE(B5,F5,J5,N5,R5,V5),"")</f>
        <v>#DIV/0!</v>
      </c>
      <c r="AA5" s="79" t="e">
        <f t="shared" si="0"/>
        <v>#DIV/0!</v>
      </c>
      <c r="AB5" s="79" t="e">
        <f t="shared" si="0"/>
        <v>#DIV/0!</v>
      </c>
      <c r="AC5" s="79" t="e">
        <f t="shared" si="0"/>
        <v>#DIV/0!</v>
      </c>
      <c r="AD5" s="123" t="e">
        <f>IF(AC5&lt;&gt;"",SUM(Z5:AC5),"")</f>
        <v>#DIV/0!</v>
      </c>
      <c r="AE5" s="124" t="e">
        <f>'Scoring Accuracy'!H9/6+AD5</f>
        <v>#VALUE!</v>
      </c>
    </row>
    <row r="6" spans="1:31" ht="12.75">
      <c r="A6" s="76">
        <f>IF(Exam_02=0,"",Exam_02)</f>
        <v>2</v>
      </c>
      <c r="B6" s="119" t="e">
        <f>AVERAGE('G1-Taste'!B6,'G2-Taste'!B6)</f>
        <v>#DIV/0!</v>
      </c>
      <c r="C6" s="119" t="e">
        <f>AVERAGE('G1-Taste'!C6,'G2-Taste'!C6)</f>
        <v>#DIV/0!</v>
      </c>
      <c r="D6" s="119" t="e">
        <f>AVERAGE('G1-Taste'!D6,'G2-Taste'!D6)</f>
        <v>#DIV/0!</v>
      </c>
      <c r="E6" s="119" t="e">
        <f>AVERAGE('G1-Taste'!E6,'G2-Taste'!E6)</f>
        <v>#DIV/0!</v>
      </c>
      <c r="F6" s="120" t="e">
        <f>AVERAGE('G1-Taste'!F6,'G2-Taste'!F6)</f>
        <v>#DIV/0!</v>
      </c>
      <c r="G6" s="120" t="e">
        <f>AVERAGE('G1-Taste'!G6,'G2-Taste'!G6)</f>
        <v>#DIV/0!</v>
      </c>
      <c r="H6" s="120" t="e">
        <f>AVERAGE('G1-Taste'!H6,'G2-Taste'!H6)</f>
        <v>#DIV/0!</v>
      </c>
      <c r="I6" s="120" t="e">
        <f>AVERAGE('G1-Taste'!I6,'G2-Taste'!I6)</f>
        <v>#DIV/0!</v>
      </c>
      <c r="J6" s="121" t="e">
        <f>AVERAGE('G1-Taste'!J6,'G2-Taste'!J6)</f>
        <v>#DIV/0!</v>
      </c>
      <c r="K6" s="121" t="e">
        <f>AVERAGE('G1-Taste'!K6,'G2-Taste'!K6)</f>
        <v>#DIV/0!</v>
      </c>
      <c r="L6" s="121" t="e">
        <f>AVERAGE('G1-Taste'!L6,'G2-Taste'!L6)</f>
        <v>#DIV/0!</v>
      </c>
      <c r="M6" s="121" t="e">
        <f>AVERAGE('G1-Taste'!M6,'G2-Taste'!M6)</f>
        <v>#DIV/0!</v>
      </c>
      <c r="N6" s="119" t="e">
        <f>AVERAGE('G1-Taste'!N6,'G2-Taste'!N6)</f>
        <v>#DIV/0!</v>
      </c>
      <c r="O6" s="119" t="e">
        <f>AVERAGE('G1-Taste'!O6,'G2-Taste'!O6)</f>
        <v>#DIV/0!</v>
      </c>
      <c r="P6" s="119" t="e">
        <f>AVERAGE('G1-Taste'!P6,'G2-Taste'!P6)</f>
        <v>#DIV/0!</v>
      </c>
      <c r="Q6" s="119" t="e">
        <f>AVERAGE('G1-Taste'!Q6,'G2-Taste'!Q6)</f>
        <v>#DIV/0!</v>
      </c>
      <c r="R6" s="120" t="e">
        <f>AVERAGE('G1-Taste'!R6,'G2-Taste'!R6)</f>
        <v>#DIV/0!</v>
      </c>
      <c r="S6" s="120" t="e">
        <f>AVERAGE('G1-Taste'!S6,'G2-Taste'!S6)</f>
        <v>#DIV/0!</v>
      </c>
      <c r="T6" s="120" t="e">
        <f>AVERAGE('G1-Taste'!T6,'G2-Taste'!T6)</f>
        <v>#DIV/0!</v>
      </c>
      <c r="U6" s="120" t="e">
        <f>AVERAGE('G1-Taste'!U6,'G2-Taste'!U6)</f>
        <v>#DIV/0!</v>
      </c>
      <c r="V6" s="122" t="e">
        <f>AVERAGE('G1-Taste'!V6,'G2-Taste'!V6)</f>
        <v>#DIV/0!</v>
      </c>
      <c r="W6" s="122" t="e">
        <f>AVERAGE('G1-Taste'!W6,'G2-Taste'!W6)</f>
        <v>#DIV/0!</v>
      </c>
      <c r="X6" s="122" t="e">
        <f>AVERAGE('G1-Taste'!X6,'G2-Taste'!X6)</f>
        <v>#DIV/0!</v>
      </c>
      <c r="Y6" s="122" t="e">
        <f>AVERAGE('G1-Taste'!Y6,'G2-Taste'!Y6)</f>
        <v>#DIV/0!</v>
      </c>
      <c r="Z6" s="79" t="e">
        <f t="shared" si="0"/>
        <v>#DIV/0!</v>
      </c>
      <c r="AA6" s="79" t="e">
        <f t="shared" si="0"/>
        <v>#DIV/0!</v>
      </c>
      <c r="AB6" s="79" t="e">
        <f t="shared" si="0"/>
        <v>#DIV/0!</v>
      </c>
      <c r="AC6" s="79" t="e">
        <f t="shared" si="0"/>
        <v>#DIV/0!</v>
      </c>
      <c r="AD6" s="123" t="e">
        <f aca="true" t="shared" si="1" ref="AD6:AD28">IF(AC6&lt;&gt;"",SUM(Z6:AC6),"")</f>
        <v>#DIV/0!</v>
      </c>
      <c r="AE6" s="124" t="e">
        <f>'Scoring Accuracy'!H10/6+AD6</f>
        <v>#VALUE!</v>
      </c>
    </row>
    <row r="7" spans="1:31" ht="12.75">
      <c r="A7" s="76">
        <f>IF(Exam_03=0,"",Exam_03)</f>
        <v>3</v>
      </c>
      <c r="B7" s="119" t="e">
        <f>AVERAGE('G1-Taste'!B7,'G2-Taste'!B7)</f>
        <v>#DIV/0!</v>
      </c>
      <c r="C7" s="119" t="e">
        <f>AVERAGE('G1-Taste'!C7,'G2-Taste'!C7)</f>
        <v>#DIV/0!</v>
      </c>
      <c r="D7" s="119" t="e">
        <f>AVERAGE('G1-Taste'!D7,'G2-Taste'!D7)</f>
        <v>#DIV/0!</v>
      </c>
      <c r="E7" s="119" t="e">
        <f>AVERAGE('G1-Taste'!E7,'G2-Taste'!E7)</f>
        <v>#DIV/0!</v>
      </c>
      <c r="F7" s="120" t="e">
        <f>AVERAGE('G1-Taste'!F7,'G2-Taste'!F7)</f>
        <v>#DIV/0!</v>
      </c>
      <c r="G7" s="120" t="e">
        <f>AVERAGE('G1-Taste'!G7,'G2-Taste'!G7)</f>
        <v>#DIV/0!</v>
      </c>
      <c r="H7" s="120" t="e">
        <f>AVERAGE('G1-Taste'!H7,'G2-Taste'!H7)</f>
        <v>#DIV/0!</v>
      </c>
      <c r="I7" s="120" t="e">
        <f>AVERAGE('G1-Taste'!I7,'G2-Taste'!I7)</f>
        <v>#DIV/0!</v>
      </c>
      <c r="J7" s="121" t="e">
        <f>AVERAGE('G1-Taste'!J7,'G2-Taste'!J7)</f>
        <v>#DIV/0!</v>
      </c>
      <c r="K7" s="121" t="e">
        <f>AVERAGE('G1-Taste'!K7,'G2-Taste'!K7)</f>
        <v>#DIV/0!</v>
      </c>
      <c r="L7" s="121" t="e">
        <f>AVERAGE('G1-Taste'!L7,'G2-Taste'!L7)</f>
        <v>#DIV/0!</v>
      </c>
      <c r="M7" s="121" t="e">
        <f>AVERAGE('G1-Taste'!M7,'G2-Taste'!M7)</f>
        <v>#DIV/0!</v>
      </c>
      <c r="N7" s="119" t="e">
        <f>AVERAGE('G1-Taste'!N7,'G2-Taste'!N7)</f>
        <v>#DIV/0!</v>
      </c>
      <c r="O7" s="119" t="e">
        <f>AVERAGE('G1-Taste'!O7,'G2-Taste'!O7)</f>
        <v>#DIV/0!</v>
      </c>
      <c r="P7" s="119" t="e">
        <f>AVERAGE('G1-Taste'!P7,'G2-Taste'!P7)</f>
        <v>#DIV/0!</v>
      </c>
      <c r="Q7" s="119" t="e">
        <f>AVERAGE('G1-Taste'!Q7,'G2-Taste'!Q7)</f>
        <v>#DIV/0!</v>
      </c>
      <c r="R7" s="120" t="e">
        <f>AVERAGE('G1-Taste'!R7,'G2-Taste'!R7)</f>
        <v>#DIV/0!</v>
      </c>
      <c r="S7" s="120" t="e">
        <f>AVERAGE('G1-Taste'!S7,'G2-Taste'!S7)</f>
        <v>#DIV/0!</v>
      </c>
      <c r="T7" s="120" t="e">
        <f>AVERAGE('G1-Taste'!T7,'G2-Taste'!T7)</f>
        <v>#DIV/0!</v>
      </c>
      <c r="U7" s="120" t="e">
        <f>AVERAGE('G1-Taste'!U7,'G2-Taste'!U7)</f>
        <v>#DIV/0!</v>
      </c>
      <c r="V7" s="122" t="e">
        <f>AVERAGE('G1-Taste'!V7,'G2-Taste'!V7)</f>
        <v>#DIV/0!</v>
      </c>
      <c r="W7" s="122" t="e">
        <f>AVERAGE('G1-Taste'!W7,'G2-Taste'!W7)</f>
        <v>#DIV/0!</v>
      </c>
      <c r="X7" s="122" t="e">
        <f>AVERAGE('G1-Taste'!X7,'G2-Taste'!X7)</f>
        <v>#DIV/0!</v>
      </c>
      <c r="Y7" s="122" t="e">
        <f>AVERAGE('G1-Taste'!Y7,'G2-Taste'!Y7)</f>
        <v>#DIV/0!</v>
      </c>
      <c r="Z7" s="79" t="e">
        <f t="shared" si="0"/>
        <v>#DIV/0!</v>
      </c>
      <c r="AA7" s="79" t="e">
        <f t="shared" si="0"/>
        <v>#DIV/0!</v>
      </c>
      <c r="AB7" s="79" t="e">
        <f t="shared" si="0"/>
        <v>#DIV/0!</v>
      </c>
      <c r="AC7" s="79" t="e">
        <f t="shared" si="0"/>
        <v>#DIV/0!</v>
      </c>
      <c r="AD7" s="123" t="e">
        <f t="shared" si="1"/>
        <v>#DIV/0!</v>
      </c>
      <c r="AE7" s="124" t="e">
        <f>'Scoring Accuracy'!H11/6+AD7</f>
        <v>#VALUE!</v>
      </c>
    </row>
    <row r="8" spans="1:31" ht="12.75">
      <c r="A8" s="76">
        <f>IF(Exam_04=0,"",Exam_04)</f>
        <v>4</v>
      </c>
      <c r="B8" s="119" t="e">
        <f>AVERAGE('G1-Taste'!B8,'G2-Taste'!B8)</f>
        <v>#DIV/0!</v>
      </c>
      <c r="C8" s="119" t="e">
        <f>AVERAGE('G1-Taste'!C8,'G2-Taste'!C8)</f>
        <v>#DIV/0!</v>
      </c>
      <c r="D8" s="119" t="e">
        <f>AVERAGE('G1-Taste'!D8,'G2-Taste'!D8)</f>
        <v>#DIV/0!</v>
      </c>
      <c r="E8" s="119" t="e">
        <f>AVERAGE('G1-Taste'!E8,'G2-Taste'!E8)</f>
        <v>#DIV/0!</v>
      </c>
      <c r="F8" s="120" t="e">
        <f>AVERAGE('G1-Taste'!F8,'G2-Taste'!F8)</f>
        <v>#DIV/0!</v>
      </c>
      <c r="G8" s="120" t="e">
        <f>AVERAGE('G1-Taste'!G8,'G2-Taste'!G8)</f>
        <v>#DIV/0!</v>
      </c>
      <c r="H8" s="120" t="e">
        <f>AVERAGE('G1-Taste'!H8,'G2-Taste'!H8)</f>
        <v>#DIV/0!</v>
      </c>
      <c r="I8" s="120" t="e">
        <f>AVERAGE('G1-Taste'!I8,'G2-Taste'!I8)</f>
        <v>#DIV/0!</v>
      </c>
      <c r="J8" s="121" t="e">
        <f>AVERAGE('G1-Taste'!J8,'G2-Taste'!J8)</f>
        <v>#DIV/0!</v>
      </c>
      <c r="K8" s="121" t="e">
        <f>AVERAGE('G1-Taste'!K8,'G2-Taste'!K8)</f>
        <v>#DIV/0!</v>
      </c>
      <c r="L8" s="121" t="e">
        <f>AVERAGE('G1-Taste'!L8,'G2-Taste'!L8)</f>
        <v>#DIV/0!</v>
      </c>
      <c r="M8" s="121" t="e">
        <f>AVERAGE('G1-Taste'!M8,'G2-Taste'!M8)</f>
        <v>#DIV/0!</v>
      </c>
      <c r="N8" s="119" t="e">
        <f>AVERAGE('G1-Taste'!N8,'G2-Taste'!N8)</f>
        <v>#DIV/0!</v>
      </c>
      <c r="O8" s="119" t="e">
        <f>AVERAGE('G1-Taste'!O8,'G2-Taste'!O8)</f>
        <v>#DIV/0!</v>
      </c>
      <c r="P8" s="119" t="e">
        <f>AVERAGE('G1-Taste'!P8,'G2-Taste'!P8)</f>
        <v>#DIV/0!</v>
      </c>
      <c r="Q8" s="119" t="e">
        <f>AVERAGE('G1-Taste'!Q8,'G2-Taste'!Q8)</f>
        <v>#DIV/0!</v>
      </c>
      <c r="R8" s="120" t="e">
        <f>AVERAGE('G1-Taste'!R8,'G2-Taste'!R8)</f>
        <v>#DIV/0!</v>
      </c>
      <c r="S8" s="120" t="e">
        <f>AVERAGE('G1-Taste'!S8,'G2-Taste'!S8)</f>
        <v>#DIV/0!</v>
      </c>
      <c r="T8" s="120" t="e">
        <f>AVERAGE('G1-Taste'!T8,'G2-Taste'!T8)</f>
        <v>#DIV/0!</v>
      </c>
      <c r="U8" s="120" t="e">
        <f>AVERAGE('G1-Taste'!U8,'G2-Taste'!U8)</f>
        <v>#DIV/0!</v>
      </c>
      <c r="V8" s="122" t="e">
        <f>AVERAGE('G1-Taste'!V8,'G2-Taste'!V8)</f>
        <v>#DIV/0!</v>
      </c>
      <c r="W8" s="122" t="e">
        <f>AVERAGE('G1-Taste'!W8,'G2-Taste'!W8)</f>
        <v>#DIV/0!</v>
      </c>
      <c r="X8" s="122" t="e">
        <f>AVERAGE('G1-Taste'!X8,'G2-Taste'!X8)</f>
        <v>#DIV/0!</v>
      </c>
      <c r="Y8" s="122" t="e">
        <f>AVERAGE('G1-Taste'!Y8,'G2-Taste'!Y8)</f>
        <v>#DIV/0!</v>
      </c>
      <c r="Z8" s="79" t="e">
        <f t="shared" si="0"/>
        <v>#DIV/0!</v>
      </c>
      <c r="AA8" s="79" t="e">
        <f t="shared" si="0"/>
        <v>#DIV/0!</v>
      </c>
      <c r="AB8" s="79" t="e">
        <f t="shared" si="0"/>
        <v>#DIV/0!</v>
      </c>
      <c r="AC8" s="79" t="e">
        <f t="shared" si="0"/>
        <v>#DIV/0!</v>
      </c>
      <c r="AD8" s="123" t="e">
        <f t="shared" si="1"/>
        <v>#DIV/0!</v>
      </c>
      <c r="AE8" s="124" t="e">
        <f>'Scoring Accuracy'!H12/6+AD8</f>
        <v>#VALUE!</v>
      </c>
    </row>
    <row r="9" spans="1:31" ht="12.75">
      <c r="A9" s="76">
        <f>IF(Exam_05=0,"",Exam_05)</f>
        <v>5</v>
      </c>
      <c r="B9" s="119" t="e">
        <f>AVERAGE('G1-Taste'!B9,'G2-Taste'!B9)</f>
        <v>#DIV/0!</v>
      </c>
      <c r="C9" s="119" t="e">
        <f>AVERAGE('G1-Taste'!C9,'G2-Taste'!C9)</f>
        <v>#DIV/0!</v>
      </c>
      <c r="D9" s="119" t="e">
        <f>AVERAGE('G1-Taste'!D9,'G2-Taste'!D9)</f>
        <v>#DIV/0!</v>
      </c>
      <c r="E9" s="119" t="e">
        <f>AVERAGE('G1-Taste'!E9,'G2-Taste'!E9)</f>
        <v>#DIV/0!</v>
      </c>
      <c r="F9" s="120" t="e">
        <f>AVERAGE('G1-Taste'!F9,'G2-Taste'!F9)</f>
        <v>#DIV/0!</v>
      </c>
      <c r="G9" s="120" t="e">
        <f>AVERAGE('G1-Taste'!G9,'G2-Taste'!G9)</f>
        <v>#DIV/0!</v>
      </c>
      <c r="H9" s="120" t="e">
        <f>AVERAGE('G1-Taste'!H9,'G2-Taste'!H9)</f>
        <v>#DIV/0!</v>
      </c>
      <c r="I9" s="120" t="e">
        <f>AVERAGE('G1-Taste'!I9,'G2-Taste'!I9)</f>
        <v>#DIV/0!</v>
      </c>
      <c r="J9" s="121" t="e">
        <f>AVERAGE('G1-Taste'!J9,'G2-Taste'!J9)</f>
        <v>#DIV/0!</v>
      </c>
      <c r="K9" s="121" t="e">
        <f>AVERAGE('G1-Taste'!K9,'G2-Taste'!K9)</f>
        <v>#DIV/0!</v>
      </c>
      <c r="L9" s="121" t="e">
        <f>AVERAGE('G1-Taste'!L9,'G2-Taste'!L9)</f>
        <v>#DIV/0!</v>
      </c>
      <c r="M9" s="121" t="e">
        <f>AVERAGE('G1-Taste'!M9,'G2-Taste'!M9)</f>
        <v>#DIV/0!</v>
      </c>
      <c r="N9" s="119" t="e">
        <f>AVERAGE('G1-Taste'!N9,'G2-Taste'!N9)</f>
        <v>#DIV/0!</v>
      </c>
      <c r="O9" s="119" t="e">
        <f>AVERAGE('G1-Taste'!O9,'G2-Taste'!O9)</f>
        <v>#DIV/0!</v>
      </c>
      <c r="P9" s="119" t="e">
        <f>AVERAGE('G1-Taste'!P9,'G2-Taste'!P9)</f>
        <v>#DIV/0!</v>
      </c>
      <c r="Q9" s="119" t="e">
        <f>AVERAGE('G1-Taste'!Q9,'G2-Taste'!Q9)</f>
        <v>#DIV/0!</v>
      </c>
      <c r="R9" s="120" t="e">
        <f>AVERAGE('G1-Taste'!R9,'G2-Taste'!R9)</f>
        <v>#DIV/0!</v>
      </c>
      <c r="S9" s="120" t="e">
        <f>AVERAGE('G1-Taste'!S9,'G2-Taste'!S9)</f>
        <v>#DIV/0!</v>
      </c>
      <c r="T9" s="120" t="e">
        <f>AVERAGE('G1-Taste'!T9,'G2-Taste'!T9)</f>
        <v>#DIV/0!</v>
      </c>
      <c r="U9" s="120" t="e">
        <f>AVERAGE('G1-Taste'!U9,'G2-Taste'!U9)</f>
        <v>#DIV/0!</v>
      </c>
      <c r="V9" s="122" t="e">
        <f>AVERAGE('G1-Taste'!V9,'G2-Taste'!V9)</f>
        <v>#DIV/0!</v>
      </c>
      <c r="W9" s="122" t="e">
        <f>AVERAGE('G1-Taste'!W9,'G2-Taste'!W9)</f>
        <v>#DIV/0!</v>
      </c>
      <c r="X9" s="122" t="e">
        <f>AVERAGE('G1-Taste'!X9,'G2-Taste'!X9)</f>
        <v>#DIV/0!</v>
      </c>
      <c r="Y9" s="122" t="e">
        <f>AVERAGE('G1-Taste'!Y9,'G2-Taste'!Y9)</f>
        <v>#DIV/0!</v>
      </c>
      <c r="Z9" s="79" t="e">
        <f t="shared" si="0"/>
        <v>#DIV/0!</v>
      </c>
      <c r="AA9" s="79" t="e">
        <f t="shared" si="0"/>
        <v>#DIV/0!</v>
      </c>
      <c r="AB9" s="79" t="e">
        <f t="shared" si="0"/>
        <v>#DIV/0!</v>
      </c>
      <c r="AC9" s="79" t="e">
        <f t="shared" si="0"/>
        <v>#DIV/0!</v>
      </c>
      <c r="AD9" s="123" t="e">
        <f t="shared" si="1"/>
        <v>#DIV/0!</v>
      </c>
      <c r="AE9" s="124" t="e">
        <f>'Scoring Accuracy'!H13/6+AD9</f>
        <v>#VALUE!</v>
      </c>
    </row>
    <row r="10" spans="1:31" ht="12.75">
      <c r="A10" s="76">
        <f>IF(Exam_06=0,"",Exam_06)</f>
        <v>6</v>
      </c>
      <c r="B10" s="119" t="e">
        <f>AVERAGE('G1-Taste'!B10,'G2-Taste'!B10)</f>
        <v>#DIV/0!</v>
      </c>
      <c r="C10" s="119" t="e">
        <f>AVERAGE('G1-Taste'!C10,'G2-Taste'!C10)</f>
        <v>#DIV/0!</v>
      </c>
      <c r="D10" s="119" t="e">
        <f>AVERAGE('G1-Taste'!D10,'G2-Taste'!D10)</f>
        <v>#DIV/0!</v>
      </c>
      <c r="E10" s="119" t="e">
        <f>AVERAGE('G1-Taste'!E10,'G2-Taste'!E10)</f>
        <v>#DIV/0!</v>
      </c>
      <c r="F10" s="120" t="e">
        <f>AVERAGE('G1-Taste'!F10,'G2-Taste'!F10)</f>
        <v>#DIV/0!</v>
      </c>
      <c r="G10" s="120" t="e">
        <f>AVERAGE('G1-Taste'!G10,'G2-Taste'!G10)</f>
        <v>#DIV/0!</v>
      </c>
      <c r="H10" s="120" t="e">
        <f>AVERAGE('G1-Taste'!H10,'G2-Taste'!H10)</f>
        <v>#DIV/0!</v>
      </c>
      <c r="I10" s="120" t="e">
        <f>AVERAGE('G1-Taste'!I10,'G2-Taste'!I10)</f>
        <v>#DIV/0!</v>
      </c>
      <c r="J10" s="121" t="e">
        <f>AVERAGE('G1-Taste'!J10,'G2-Taste'!J10)</f>
        <v>#DIV/0!</v>
      </c>
      <c r="K10" s="121" t="e">
        <f>AVERAGE('G1-Taste'!K10,'G2-Taste'!K10)</f>
        <v>#DIV/0!</v>
      </c>
      <c r="L10" s="121" t="e">
        <f>AVERAGE('G1-Taste'!L10,'G2-Taste'!L10)</f>
        <v>#DIV/0!</v>
      </c>
      <c r="M10" s="121" t="e">
        <f>AVERAGE('G1-Taste'!M10,'G2-Taste'!M10)</f>
        <v>#DIV/0!</v>
      </c>
      <c r="N10" s="119" t="e">
        <f>AVERAGE('G1-Taste'!N10,'G2-Taste'!N10)</f>
        <v>#DIV/0!</v>
      </c>
      <c r="O10" s="119" t="e">
        <f>AVERAGE('G1-Taste'!O10,'G2-Taste'!O10)</f>
        <v>#DIV/0!</v>
      </c>
      <c r="P10" s="119" t="e">
        <f>AVERAGE('G1-Taste'!P10,'G2-Taste'!P10)</f>
        <v>#DIV/0!</v>
      </c>
      <c r="Q10" s="119" t="e">
        <f>AVERAGE('G1-Taste'!Q10,'G2-Taste'!Q10)</f>
        <v>#DIV/0!</v>
      </c>
      <c r="R10" s="120" t="e">
        <f>AVERAGE('G1-Taste'!R10,'G2-Taste'!R10)</f>
        <v>#DIV/0!</v>
      </c>
      <c r="S10" s="120" t="e">
        <f>AVERAGE('G1-Taste'!S10,'G2-Taste'!S10)</f>
        <v>#DIV/0!</v>
      </c>
      <c r="T10" s="120" t="e">
        <f>AVERAGE('G1-Taste'!T10,'G2-Taste'!T10)</f>
        <v>#DIV/0!</v>
      </c>
      <c r="U10" s="120" t="e">
        <f>AVERAGE('G1-Taste'!U10,'G2-Taste'!U10)</f>
        <v>#DIV/0!</v>
      </c>
      <c r="V10" s="122" t="e">
        <f>AVERAGE('G1-Taste'!V10,'G2-Taste'!V10)</f>
        <v>#DIV/0!</v>
      </c>
      <c r="W10" s="122" t="e">
        <f>AVERAGE('G1-Taste'!W10,'G2-Taste'!W10)</f>
        <v>#DIV/0!</v>
      </c>
      <c r="X10" s="122" t="e">
        <f>AVERAGE('G1-Taste'!X10,'G2-Taste'!X10)</f>
        <v>#DIV/0!</v>
      </c>
      <c r="Y10" s="122" t="e">
        <f>AVERAGE('G1-Taste'!Y10,'G2-Taste'!Y10)</f>
        <v>#DIV/0!</v>
      </c>
      <c r="Z10" s="79" t="e">
        <f t="shared" si="0"/>
        <v>#DIV/0!</v>
      </c>
      <c r="AA10" s="79" t="e">
        <f t="shared" si="0"/>
        <v>#DIV/0!</v>
      </c>
      <c r="AB10" s="79" t="e">
        <f t="shared" si="0"/>
        <v>#DIV/0!</v>
      </c>
      <c r="AC10" s="79" t="e">
        <f t="shared" si="0"/>
        <v>#DIV/0!</v>
      </c>
      <c r="AD10" s="123" t="e">
        <f t="shared" si="1"/>
        <v>#DIV/0!</v>
      </c>
      <c r="AE10" s="124" t="e">
        <f>'Scoring Accuracy'!H14/6+AD10</f>
        <v>#VALUE!</v>
      </c>
    </row>
    <row r="11" spans="1:31" ht="12.75">
      <c r="A11" s="76">
        <f>IF(Exam_07=0,"",Exam_07)</f>
        <v>7</v>
      </c>
      <c r="B11" s="119" t="e">
        <f>AVERAGE('G1-Taste'!B11,'G2-Taste'!B11)</f>
        <v>#DIV/0!</v>
      </c>
      <c r="C11" s="119" t="e">
        <f>AVERAGE('G1-Taste'!C11,'G2-Taste'!C11)</f>
        <v>#DIV/0!</v>
      </c>
      <c r="D11" s="119" t="e">
        <f>AVERAGE('G1-Taste'!D11,'G2-Taste'!D11)</f>
        <v>#DIV/0!</v>
      </c>
      <c r="E11" s="119" t="e">
        <f>AVERAGE('G1-Taste'!E11,'G2-Taste'!E11)</f>
        <v>#DIV/0!</v>
      </c>
      <c r="F11" s="120" t="e">
        <f>AVERAGE('G1-Taste'!F11,'G2-Taste'!F11)</f>
        <v>#DIV/0!</v>
      </c>
      <c r="G11" s="120" t="e">
        <f>AVERAGE('G1-Taste'!G11,'G2-Taste'!G11)</f>
        <v>#DIV/0!</v>
      </c>
      <c r="H11" s="120" t="e">
        <f>AVERAGE('G1-Taste'!H11,'G2-Taste'!H11)</f>
        <v>#DIV/0!</v>
      </c>
      <c r="I11" s="120" t="e">
        <f>AVERAGE('G1-Taste'!I11,'G2-Taste'!I11)</f>
        <v>#DIV/0!</v>
      </c>
      <c r="J11" s="121" t="e">
        <f>AVERAGE('G1-Taste'!J11,'G2-Taste'!J11)</f>
        <v>#DIV/0!</v>
      </c>
      <c r="K11" s="121" t="e">
        <f>AVERAGE('G1-Taste'!K11,'G2-Taste'!K11)</f>
        <v>#DIV/0!</v>
      </c>
      <c r="L11" s="121" t="e">
        <f>AVERAGE('G1-Taste'!L11,'G2-Taste'!L11)</f>
        <v>#DIV/0!</v>
      </c>
      <c r="M11" s="121" t="e">
        <f>AVERAGE('G1-Taste'!M11,'G2-Taste'!M11)</f>
        <v>#DIV/0!</v>
      </c>
      <c r="N11" s="119" t="e">
        <f>AVERAGE('G1-Taste'!N11,'G2-Taste'!N11)</f>
        <v>#DIV/0!</v>
      </c>
      <c r="O11" s="119" t="e">
        <f>AVERAGE('G1-Taste'!O11,'G2-Taste'!O11)</f>
        <v>#DIV/0!</v>
      </c>
      <c r="P11" s="119" t="e">
        <f>AVERAGE('G1-Taste'!P11,'G2-Taste'!P11)</f>
        <v>#DIV/0!</v>
      </c>
      <c r="Q11" s="119" t="e">
        <f>AVERAGE('G1-Taste'!Q11,'G2-Taste'!Q11)</f>
        <v>#DIV/0!</v>
      </c>
      <c r="R11" s="120" t="e">
        <f>AVERAGE('G1-Taste'!R11,'G2-Taste'!R11)</f>
        <v>#DIV/0!</v>
      </c>
      <c r="S11" s="120" t="e">
        <f>AVERAGE('G1-Taste'!S11,'G2-Taste'!S11)</f>
        <v>#DIV/0!</v>
      </c>
      <c r="T11" s="120" t="e">
        <f>AVERAGE('G1-Taste'!T11,'G2-Taste'!T11)</f>
        <v>#DIV/0!</v>
      </c>
      <c r="U11" s="120" t="e">
        <f>AVERAGE('G1-Taste'!U11,'G2-Taste'!U11)</f>
        <v>#DIV/0!</v>
      </c>
      <c r="V11" s="122" t="e">
        <f>AVERAGE('G1-Taste'!V11,'G2-Taste'!V11)</f>
        <v>#DIV/0!</v>
      </c>
      <c r="W11" s="122" t="e">
        <f>AVERAGE('G1-Taste'!W11,'G2-Taste'!W11)</f>
        <v>#DIV/0!</v>
      </c>
      <c r="X11" s="122" t="e">
        <f>AVERAGE('G1-Taste'!X11,'G2-Taste'!X11)</f>
        <v>#DIV/0!</v>
      </c>
      <c r="Y11" s="122" t="e">
        <f>AVERAGE('G1-Taste'!Y11,'G2-Taste'!Y11)</f>
        <v>#DIV/0!</v>
      </c>
      <c r="Z11" s="79" t="e">
        <f t="shared" si="0"/>
        <v>#DIV/0!</v>
      </c>
      <c r="AA11" s="79" t="e">
        <f t="shared" si="0"/>
        <v>#DIV/0!</v>
      </c>
      <c r="AB11" s="79" t="e">
        <f t="shared" si="0"/>
        <v>#DIV/0!</v>
      </c>
      <c r="AC11" s="79" t="e">
        <f t="shared" si="0"/>
        <v>#DIV/0!</v>
      </c>
      <c r="AD11" s="123" t="e">
        <f t="shared" si="1"/>
        <v>#DIV/0!</v>
      </c>
      <c r="AE11" s="124" t="e">
        <f>'Scoring Accuracy'!H15/6+AD11</f>
        <v>#VALUE!</v>
      </c>
    </row>
    <row r="12" spans="1:31" ht="12.75">
      <c r="A12" s="76">
        <f>IF(Exam_08=0,"",Exam_08)</f>
        <v>8</v>
      </c>
      <c r="B12" s="119" t="e">
        <f>AVERAGE('G1-Taste'!B12,'G2-Taste'!B12)</f>
        <v>#DIV/0!</v>
      </c>
      <c r="C12" s="119" t="e">
        <f>AVERAGE('G1-Taste'!C12,'G2-Taste'!C12)</f>
        <v>#DIV/0!</v>
      </c>
      <c r="D12" s="119" t="e">
        <f>AVERAGE('G1-Taste'!D12,'G2-Taste'!D12)</f>
        <v>#DIV/0!</v>
      </c>
      <c r="E12" s="119" t="e">
        <f>AVERAGE('G1-Taste'!E12,'G2-Taste'!E12)</f>
        <v>#DIV/0!</v>
      </c>
      <c r="F12" s="120" t="e">
        <f>AVERAGE('G1-Taste'!F12,'G2-Taste'!F12)</f>
        <v>#DIV/0!</v>
      </c>
      <c r="G12" s="120" t="e">
        <f>AVERAGE('G1-Taste'!G12,'G2-Taste'!G12)</f>
        <v>#DIV/0!</v>
      </c>
      <c r="H12" s="120" t="e">
        <f>AVERAGE('G1-Taste'!H12,'G2-Taste'!H12)</f>
        <v>#DIV/0!</v>
      </c>
      <c r="I12" s="120" t="e">
        <f>AVERAGE('G1-Taste'!I12,'G2-Taste'!I12)</f>
        <v>#DIV/0!</v>
      </c>
      <c r="J12" s="121" t="e">
        <f>AVERAGE('G1-Taste'!J12,'G2-Taste'!J12)</f>
        <v>#DIV/0!</v>
      </c>
      <c r="K12" s="121" t="e">
        <f>AVERAGE('G1-Taste'!K12,'G2-Taste'!K12)</f>
        <v>#DIV/0!</v>
      </c>
      <c r="L12" s="121" t="e">
        <f>AVERAGE('G1-Taste'!L12,'G2-Taste'!L12)</f>
        <v>#DIV/0!</v>
      </c>
      <c r="M12" s="121" t="e">
        <f>AVERAGE('G1-Taste'!M12,'G2-Taste'!M12)</f>
        <v>#DIV/0!</v>
      </c>
      <c r="N12" s="119" t="e">
        <f>AVERAGE('G1-Taste'!N12,'G2-Taste'!N12)</f>
        <v>#DIV/0!</v>
      </c>
      <c r="O12" s="119" t="e">
        <f>AVERAGE('G1-Taste'!O12,'G2-Taste'!O12)</f>
        <v>#DIV/0!</v>
      </c>
      <c r="P12" s="119" t="e">
        <f>AVERAGE('G1-Taste'!P12,'G2-Taste'!P12)</f>
        <v>#DIV/0!</v>
      </c>
      <c r="Q12" s="119" t="e">
        <f>AVERAGE('G1-Taste'!Q12,'G2-Taste'!Q12)</f>
        <v>#DIV/0!</v>
      </c>
      <c r="R12" s="120" t="e">
        <f>AVERAGE('G1-Taste'!R12,'G2-Taste'!R12)</f>
        <v>#DIV/0!</v>
      </c>
      <c r="S12" s="120" t="e">
        <f>AVERAGE('G1-Taste'!S12,'G2-Taste'!S12)</f>
        <v>#DIV/0!</v>
      </c>
      <c r="T12" s="120" t="e">
        <f>AVERAGE('G1-Taste'!T12,'G2-Taste'!T12)</f>
        <v>#DIV/0!</v>
      </c>
      <c r="U12" s="120" t="e">
        <f>AVERAGE('G1-Taste'!U12,'G2-Taste'!U12)</f>
        <v>#DIV/0!</v>
      </c>
      <c r="V12" s="122" t="e">
        <f>AVERAGE('G1-Taste'!V12,'G2-Taste'!V12)</f>
        <v>#DIV/0!</v>
      </c>
      <c r="W12" s="122" t="e">
        <f>AVERAGE('G1-Taste'!W12,'G2-Taste'!W12)</f>
        <v>#DIV/0!</v>
      </c>
      <c r="X12" s="122" t="e">
        <f>AVERAGE('G1-Taste'!X12,'G2-Taste'!X12)</f>
        <v>#DIV/0!</v>
      </c>
      <c r="Y12" s="122" t="e">
        <f>AVERAGE('G1-Taste'!Y12,'G2-Taste'!Y12)</f>
        <v>#DIV/0!</v>
      </c>
      <c r="Z12" s="79" t="e">
        <f t="shared" si="0"/>
        <v>#DIV/0!</v>
      </c>
      <c r="AA12" s="79" t="e">
        <f t="shared" si="0"/>
        <v>#DIV/0!</v>
      </c>
      <c r="AB12" s="79" t="e">
        <f t="shared" si="0"/>
        <v>#DIV/0!</v>
      </c>
      <c r="AC12" s="79" t="e">
        <f t="shared" si="0"/>
        <v>#DIV/0!</v>
      </c>
      <c r="AD12" s="123" t="e">
        <f t="shared" si="1"/>
        <v>#DIV/0!</v>
      </c>
      <c r="AE12" s="124" t="e">
        <f>'Scoring Accuracy'!H16/6+AD12</f>
        <v>#VALUE!</v>
      </c>
    </row>
    <row r="13" spans="1:31" ht="12.75">
      <c r="A13" s="76">
        <f>IF(Exam_09=0,"",Exam_09)</f>
        <v>9</v>
      </c>
      <c r="B13" s="119" t="e">
        <f>AVERAGE('G1-Taste'!B13,'G2-Taste'!B13)</f>
        <v>#DIV/0!</v>
      </c>
      <c r="C13" s="119" t="e">
        <f>AVERAGE('G1-Taste'!C13,'G2-Taste'!C13)</f>
        <v>#DIV/0!</v>
      </c>
      <c r="D13" s="119" t="e">
        <f>AVERAGE('G1-Taste'!D13,'G2-Taste'!D13)</f>
        <v>#DIV/0!</v>
      </c>
      <c r="E13" s="119" t="e">
        <f>AVERAGE('G1-Taste'!E13,'G2-Taste'!E13)</f>
        <v>#DIV/0!</v>
      </c>
      <c r="F13" s="120" t="e">
        <f>AVERAGE('G1-Taste'!F13,'G2-Taste'!F13)</f>
        <v>#DIV/0!</v>
      </c>
      <c r="G13" s="120" t="e">
        <f>AVERAGE('G1-Taste'!G13,'G2-Taste'!G13)</f>
        <v>#DIV/0!</v>
      </c>
      <c r="H13" s="120" t="e">
        <f>AVERAGE('G1-Taste'!H13,'G2-Taste'!H13)</f>
        <v>#DIV/0!</v>
      </c>
      <c r="I13" s="120" t="e">
        <f>AVERAGE('G1-Taste'!I13,'G2-Taste'!I13)</f>
        <v>#DIV/0!</v>
      </c>
      <c r="J13" s="121" t="e">
        <f>AVERAGE('G1-Taste'!J13,'G2-Taste'!J13)</f>
        <v>#DIV/0!</v>
      </c>
      <c r="K13" s="121" t="e">
        <f>AVERAGE('G1-Taste'!K13,'G2-Taste'!K13)</f>
        <v>#DIV/0!</v>
      </c>
      <c r="L13" s="121" t="e">
        <f>AVERAGE('G1-Taste'!L13,'G2-Taste'!L13)</f>
        <v>#DIV/0!</v>
      </c>
      <c r="M13" s="121" t="e">
        <f>AVERAGE('G1-Taste'!M13,'G2-Taste'!M13)</f>
        <v>#DIV/0!</v>
      </c>
      <c r="N13" s="119" t="e">
        <f>AVERAGE('G1-Taste'!N13,'G2-Taste'!N13)</f>
        <v>#DIV/0!</v>
      </c>
      <c r="O13" s="119" t="e">
        <f>AVERAGE('G1-Taste'!O13,'G2-Taste'!O13)</f>
        <v>#DIV/0!</v>
      </c>
      <c r="P13" s="119" t="e">
        <f>AVERAGE('G1-Taste'!P13,'G2-Taste'!P13)</f>
        <v>#DIV/0!</v>
      </c>
      <c r="Q13" s="119" t="e">
        <f>AVERAGE('G1-Taste'!Q13,'G2-Taste'!Q13)</f>
        <v>#DIV/0!</v>
      </c>
      <c r="R13" s="120" t="e">
        <f>AVERAGE('G1-Taste'!R13,'G2-Taste'!R13)</f>
        <v>#DIV/0!</v>
      </c>
      <c r="S13" s="120" t="e">
        <f>AVERAGE('G1-Taste'!S13,'G2-Taste'!S13)</f>
        <v>#DIV/0!</v>
      </c>
      <c r="T13" s="120" t="e">
        <f>AVERAGE('G1-Taste'!T13,'G2-Taste'!T13)</f>
        <v>#DIV/0!</v>
      </c>
      <c r="U13" s="120" t="e">
        <f>AVERAGE('G1-Taste'!U13,'G2-Taste'!U13)</f>
        <v>#DIV/0!</v>
      </c>
      <c r="V13" s="122" t="e">
        <f>AVERAGE('G1-Taste'!V13,'G2-Taste'!V13)</f>
        <v>#DIV/0!</v>
      </c>
      <c r="W13" s="122" t="e">
        <f>AVERAGE('G1-Taste'!W13,'G2-Taste'!W13)</f>
        <v>#DIV/0!</v>
      </c>
      <c r="X13" s="122" t="e">
        <f>AVERAGE('G1-Taste'!X13,'G2-Taste'!X13)</f>
        <v>#DIV/0!</v>
      </c>
      <c r="Y13" s="122" t="e">
        <f>AVERAGE('G1-Taste'!Y13,'G2-Taste'!Y13)</f>
        <v>#DIV/0!</v>
      </c>
      <c r="Z13" s="79" t="e">
        <f t="shared" si="0"/>
        <v>#DIV/0!</v>
      </c>
      <c r="AA13" s="79" t="e">
        <f t="shared" si="0"/>
        <v>#DIV/0!</v>
      </c>
      <c r="AB13" s="79" t="e">
        <f t="shared" si="0"/>
        <v>#DIV/0!</v>
      </c>
      <c r="AC13" s="79" t="e">
        <f t="shared" si="0"/>
        <v>#DIV/0!</v>
      </c>
      <c r="AD13" s="123" t="e">
        <f t="shared" si="1"/>
        <v>#DIV/0!</v>
      </c>
      <c r="AE13" s="124" t="e">
        <f>'Scoring Accuracy'!H17/6+AD13</f>
        <v>#VALUE!</v>
      </c>
    </row>
    <row r="14" spans="1:31" ht="12.75">
      <c r="A14" s="76">
        <f>IF(Exam_10=0,"",Exam_10)</f>
        <v>10</v>
      </c>
      <c r="B14" s="119" t="e">
        <f>AVERAGE('G1-Taste'!B14,'G2-Taste'!B14)</f>
        <v>#DIV/0!</v>
      </c>
      <c r="C14" s="119" t="e">
        <f>AVERAGE('G1-Taste'!C14,'G2-Taste'!C14)</f>
        <v>#DIV/0!</v>
      </c>
      <c r="D14" s="119" t="e">
        <f>AVERAGE('G1-Taste'!D14,'G2-Taste'!D14)</f>
        <v>#DIV/0!</v>
      </c>
      <c r="E14" s="119" t="e">
        <f>AVERAGE('G1-Taste'!E14,'G2-Taste'!E14)</f>
        <v>#DIV/0!</v>
      </c>
      <c r="F14" s="120" t="e">
        <f>AVERAGE('G1-Taste'!F14,'G2-Taste'!F14)</f>
        <v>#DIV/0!</v>
      </c>
      <c r="G14" s="120" t="e">
        <f>AVERAGE('G1-Taste'!G14,'G2-Taste'!G14)</f>
        <v>#DIV/0!</v>
      </c>
      <c r="H14" s="120" t="e">
        <f>AVERAGE('G1-Taste'!H14,'G2-Taste'!H14)</f>
        <v>#DIV/0!</v>
      </c>
      <c r="I14" s="120" t="e">
        <f>AVERAGE('G1-Taste'!I14,'G2-Taste'!I14)</f>
        <v>#DIV/0!</v>
      </c>
      <c r="J14" s="121" t="e">
        <f>AVERAGE('G1-Taste'!J14,'G2-Taste'!J14)</f>
        <v>#DIV/0!</v>
      </c>
      <c r="K14" s="121" t="e">
        <f>AVERAGE('G1-Taste'!K14,'G2-Taste'!K14)</f>
        <v>#DIV/0!</v>
      </c>
      <c r="L14" s="121" t="e">
        <f>AVERAGE('G1-Taste'!L14,'G2-Taste'!L14)</f>
        <v>#DIV/0!</v>
      </c>
      <c r="M14" s="121" t="e">
        <f>AVERAGE('G1-Taste'!M14,'G2-Taste'!M14)</f>
        <v>#DIV/0!</v>
      </c>
      <c r="N14" s="119" t="e">
        <f>AVERAGE('G1-Taste'!N14,'G2-Taste'!N14)</f>
        <v>#DIV/0!</v>
      </c>
      <c r="O14" s="119" t="e">
        <f>AVERAGE('G1-Taste'!O14,'G2-Taste'!O14)</f>
        <v>#DIV/0!</v>
      </c>
      <c r="P14" s="119" t="e">
        <f>AVERAGE('G1-Taste'!P14,'G2-Taste'!P14)</f>
        <v>#DIV/0!</v>
      </c>
      <c r="Q14" s="119" t="e">
        <f>AVERAGE('G1-Taste'!Q14,'G2-Taste'!Q14)</f>
        <v>#DIV/0!</v>
      </c>
      <c r="R14" s="120" t="e">
        <f>AVERAGE('G1-Taste'!R14,'G2-Taste'!R14)</f>
        <v>#DIV/0!</v>
      </c>
      <c r="S14" s="120" t="e">
        <f>AVERAGE('G1-Taste'!S14,'G2-Taste'!S14)</f>
        <v>#DIV/0!</v>
      </c>
      <c r="T14" s="120" t="e">
        <f>AVERAGE('G1-Taste'!T14,'G2-Taste'!T14)</f>
        <v>#DIV/0!</v>
      </c>
      <c r="U14" s="120" t="e">
        <f>AVERAGE('G1-Taste'!U14,'G2-Taste'!U14)</f>
        <v>#DIV/0!</v>
      </c>
      <c r="V14" s="122" t="e">
        <f>AVERAGE('G1-Taste'!V14,'G2-Taste'!V14)</f>
        <v>#DIV/0!</v>
      </c>
      <c r="W14" s="122" t="e">
        <f>AVERAGE('G1-Taste'!W14,'G2-Taste'!W14)</f>
        <v>#DIV/0!</v>
      </c>
      <c r="X14" s="122" t="e">
        <f>AVERAGE('G1-Taste'!X14,'G2-Taste'!X14)</f>
        <v>#DIV/0!</v>
      </c>
      <c r="Y14" s="122" t="e">
        <f>AVERAGE('G1-Taste'!Y14,'G2-Taste'!Y14)</f>
        <v>#DIV/0!</v>
      </c>
      <c r="Z14" s="79" t="e">
        <f aca="true" t="shared" si="2" ref="Z14:AC16">IF(V14&lt;&gt;"",AVERAGE(B14,F14,J14,N14,R14,V14),"")</f>
        <v>#DIV/0!</v>
      </c>
      <c r="AA14" s="79" t="e">
        <f t="shared" si="2"/>
        <v>#DIV/0!</v>
      </c>
      <c r="AB14" s="79" t="e">
        <f t="shared" si="2"/>
        <v>#DIV/0!</v>
      </c>
      <c r="AC14" s="79" t="e">
        <f t="shared" si="2"/>
        <v>#DIV/0!</v>
      </c>
      <c r="AD14" s="123" t="e">
        <f>IF(AC14&lt;&gt;"",SUM(Z14:AC14),"")</f>
        <v>#DIV/0!</v>
      </c>
      <c r="AE14" s="124" t="e">
        <f>'Scoring Accuracy'!H18/6+AD14</f>
        <v>#VALUE!</v>
      </c>
    </row>
    <row r="15" spans="1:31" ht="12.75">
      <c r="A15" s="76">
        <f>IF(Exam_11=0,"",Exam_11)</f>
        <v>11</v>
      </c>
      <c r="B15" s="119" t="e">
        <f>AVERAGE('G1-Taste'!B15,'G2-Taste'!B15)</f>
        <v>#DIV/0!</v>
      </c>
      <c r="C15" s="119" t="e">
        <f>AVERAGE('G1-Taste'!C15,'G2-Taste'!C15)</f>
        <v>#DIV/0!</v>
      </c>
      <c r="D15" s="119" t="e">
        <f>AVERAGE('G1-Taste'!D15,'G2-Taste'!D15)</f>
        <v>#DIV/0!</v>
      </c>
      <c r="E15" s="119" t="e">
        <f>AVERAGE('G1-Taste'!E15,'G2-Taste'!E15)</f>
        <v>#DIV/0!</v>
      </c>
      <c r="F15" s="120" t="e">
        <f>AVERAGE('G1-Taste'!F15,'G2-Taste'!F15)</f>
        <v>#DIV/0!</v>
      </c>
      <c r="G15" s="120" t="e">
        <f>AVERAGE('G1-Taste'!G15,'G2-Taste'!G15)</f>
        <v>#DIV/0!</v>
      </c>
      <c r="H15" s="120" t="e">
        <f>AVERAGE('G1-Taste'!H15,'G2-Taste'!H15)</f>
        <v>#DIV/0!</v>
      </c>
      <c r="I15" s="120" t="e">
        <f>AVERAGE('G1-Taste'!I15,'G2-Taste'!I15)</f>
        <v>#DIV/0!</v>
      </c>
      <c r="J15" s="121" t="e">
        <f>AVERAGE('G1-Taste'!J15,'G2-Taste'!J15)</f>
        <v>#DIV/0!</v>
      </c>
      <c r="K15" s="121" t="e">
        <f>AVERAGE('G1-Taste'!K15,'G2-Taste'!K15)</f>
        <v>#DIV/0!</v>
      </c>
      <c r="L15" s="121" t="e">
        <f>AVERAGE('G1-Taste'!L15,'G2-Taste'!L15)</f>
        <v>#DIV/0!</v>
      </c>
      <c r="M15" s="121" t="e">
        <f>AVERAGE('G1-Taste'!M15,'G2-Taste'!M15)</f>
        <v>#DIV/0!</v>
      </c>
      <c r="N15" s="119" t="e">
        <f>AVERAGE('G1-Taste'!N15,'G2-Taste'!N15)</f>
        <v>#DIV/0!</v>
      </c>
      <c r="O15" s="119" t="e">
        <f>AVERAGE('G1-Taste'!O15,'G2-Taste'!O15)</f>
        <v>#DIV/0!</v>
      </c>
      <c r="P15" s="119" t="e">
        <f>AVERAGE('G1-Taste'!P15,'G2-Taste'!P15)</f>
        <v>#DIV/0!</v>
      </c>
      <c r="Q15" s="119" t="e">
        <f>AVERAGE('G1-Taste'!Q15,'G2-Taste'!Q15)</f>
        <v>#DIV/0!</v>
      </c>
      <c r="R15" s="120" t="e">
        <f>AVERAGE('G1-Taste'!R15,'G2-Taste'!R15)</f>
        <v>#DIV/0!</v>
      </c>
      <c r="S15" s="120" t="e">
        <f>AVERAGE('G1-Taste'!S15,'G2-Taste'!S15)</f>
        <v>#DIV/0!</v>
      </c>
      <c r="T15" s="120" t="e">
        <f>AVERAGE('G1-Taste'!T15,'G2-Taste'!T15)</f>
        <v>#DIV/0!</v>
      </c>
      <c r="U15" s="120" t="e">
        <f>AVERAGE('G1-Taste'!U15,'G2-Taste'!U15)</f>
        <v>#DIV/0!</v>
      </c>
      <c r="V15" s="122" t="e">
        <f>AVERAGE('G1-Taste'!V15,'G2-Taste'!V15)</f>
        <v>#DIV/0!</v>
      </c>
      <c r="W15" s="122" t="e">
        <f>AVERAGE('G1-Taste'!W15,'G2-Taste'!W15)</f>
        <v>#DIV/0!</v>
      </c>
      <c r="X15" s="122" t="e">
        <f>AVERAGE('G1-Taste'!X15,'G2-Taste'!X15)</f>
        <v>#DIV/0!</v>
      </c>
      <c r="Y15" s="122" t="e">
        <f>AVERAGE('G1-Taste'!Y15,'G2-Taste'!Y15)</f>
        <v>#DIV/0!</v>
      </c>
      <c r="Z15" s="79" t="e">
        <f t="shared" si="2"/>
        <v>#DIV/0!</v>
      </c>
      <c r="AA15" s="79" t="e">
        <f t="shared" si="2"/>
        <v>#DIV/0!</v>
      </c>
      <c r="AB15" s="79" t="e">
        <f t="shared" si="2"/>
        <v>#DIV/0!</v>
      </c>
      <c r="AC15" s="79" t="e">
        <f t="shared" si="2"/>
        <v>#DIV/0!</v>
      </c>
      <c r="AD15" s="123" t="e">
        <f>IF(AC15&lt;&gt;"",SUM(Z15:AC15),"")</f>
        <v>#DIV/0!</v>
      </c>
      <c r="AE15" s="124" t="e">
        <f>'Scoring Accuracy'!H19/6+AD15</f>
        <v>#VALUE!</v>
      </c>
    </row>
    <row r="16" spans="1:31" ht="12.75">
      <c r="A16" s="76">
        <f>IF(Exam_12=0,"",Exam_12)</f>
        <v>12</v>
      </c>
      <c r="B16" s="119" t="e">
        <f>AVERAGE('G1-Taste'!B16,'G2-Taste'!B16)</f>
        <v>#DIV/0!</v>
      </c>
      <c r="C16" s="119" t="e">
        <f>AVERAGE('G1-Taste'!C16,'G2-Taste'!C16)</f>
        <v>#DIV/0!</v>
      </c>
      <c r="D16" s="119" t="e">
        <f>AVERAGE('G1-Taste'!D16,'G2-Taste'!D16)</f>
        <v>#DIV/0!</v>
      </c>
      <c r="E16" s="119" t="e">
        <f>AVERAGE('G1-Taste'!E16,'G2-Taste'!E16)</f>
        <v>#DIV/0!</v>
      </c>
      <c r="F16" s="120" t="e">
        <f>AVERAGE('G1-Taste'!F16,'G2-Taste'!F16)</f>
        <v>#DIV/0!</v>
      </c>
      <c r="G16" s="120" t="e">
        <f>AVERAGE('G1-Taste'!G16,'G2-Taste'!G16)</f>
        <v>#DIV/0!</v>
      </c>
      <c r="H16" s="120" t="e">
        <f>AVERAGE('G1-Taste'!H16,'G2-Taste'!H16)</f>
        <v>#DIV/0!</v>
      </c>
      <c r="I16" s="120" t="e">
        <f>AVERAGE('G1-Taste'!I16,'G2-Taste'!I16)</f>
        <v>#DIV/0!</v>
      </c>
      <c r="J16" s="121" t="e">
        <f>AVERAGE('G1-Taste'!J16,'G2-Taste'!J16)</f>
        <v>#DIV/0!</v>
      </c>
      <c r="K16" s="121" t="e">
        <f>AVERAGE('G1-Taste'!K16,'G2-Taste'!K16)</f>
        <v>#DIV/0!</v>
      </c>
      <c r="L16" s="121" t="e">
        <f>AVERAGE('G1-Taste'!L16,'G2-Taste'!L16)</f>
        <v>#DIV/0!</v>
      </c>
      <c r="M16" s="121" t="e">
        <f>AVERAGE('G1-Taste'!M16,'G2-Taste'!M16)</f>
        <v>#DIV/0!</v>
      </c>
      <c r="N16" s="119" t="e">
        <f>AVERAGE('G1-Taste'!N16,'G2-Taste'!N16)</f>
        <v>#DIV/0!</v>
      </c>
      <c r="O16" s="119" t="e">
        <f>AVERAGE('G1-Taste'!O16,'G2-Taste'!O16)</f>
        <v>#DIV/0!</v>
      </c>
      <c r="P16" s="119" t="e">
        <f>AVERAGE('G1-Taste'!P16,'G2-Taste'!P16)</f>
        <v>#DIV/0!</v>
      </c>
      <c r="Q16" s="119" t="e">
        <f>AVERAGE('G1-Taste'!Q16,'G2-Taste'!Q16)</f>
        <v>#DIV/0!</v>
      </c>
      <c r="R16" s="120" t="e">
        <f>AVERAGE('G1-Taste'!R16,'G2-Taste'!R16)</f>
        <v>#DIV/0!</v>
      </c>
      <c r="S16" s="120" t="e">
        <f>AVERAGE('G1-Taste'!S16,'G2-Taste'!S16)</f>
        <v>#DIV/0!</v>
      </c>
      <c r="T16" s="120" t="e">
        <f>AVERAGE('G1-Taste'!T16,'G2-Taste'!T16)</f>
        <v>#DIV/0!</v>
      </c>
      <c r="U16" s="120" t="e">
        <f>AVERAGE('G1-Taste'!U16,'G2-Taste'!U16)</f>
        <v>#DIV/0!</v>
      </c>
      <c r="V16" s="122" t="e">
        <f>AVERAGE('G1-Taste'!V16,'G2-Taste'!V16)</f>
        <v>#DIV/0!</v>
      </c>
      <c r="W16" s="122" t="e">
        <f>AVERAGE('G1-Taste'!W16,'G2-Taste'!W16)</f>
        <v>#DIV/0!</v>
      </c>
      <c r="X16" s="122" t="e">
        <f>AVERAGE('G1-Taste'!X16,'G2-Taste'!X16)</f>
        <v>#DIV/0!</v>
      </c>
      <c r="Y16" s="122" t="e">
        <f>AVERAGE('G1-Taste'!Y16,'G2-Taste'!Y16)</f>
        <v>#DIV/0!</v>
      </c>
      <c r="Z16" s="79" t="e">
        <f t="shared" si="2"/>
        <v>#DIV/0!</v>
      </c>
      <c r="AA16" s="79" t="e">
        <f t="shared" si="2"/>
        <v>#DIV/0!</v>
      </c>
      <c r="AB16" s="79" t="e">
        <f t="shared" si="2"/>
        <v>#DIV/0!</v>
      </c>
      <c r="AC16" s="79" t="e">
        <f t="shared" si="2"/>
        <v>#DIV/0!</v>
      </c>
      <c r="AD16" s="123" t="e">
        <f>IF(AC16&lt;&gt;"",SUM(Z16:AC16),"")</f>
        <v>#DIV/0!</v>
      </c>
      <c r="AE16" s="124" t="e">
        <f>'Scoring Accuracy'!H20/6+AD16</f>
        <v>#VALUE!</v>
      </c>
    </row>
    <row r="17" spans="1:31" ht="12.75">
      <c r="A17" s="76">
        <f>IF(Exam_13=0,"",Exam_13)</f>
        <v>13</v>
      </c>
      <c r="B17" s="119" t="e">
        <f>AVERAGE('G1-Taste'!B17,'G2-Taste'!B17)</f>
        <v>#DIV/0!</v>
      </c>
      <c r="C17" s="119" t="e">
        <f>AVERAGE('G1-Taste'!C17,'G2-Taste'!C17)</f>
        <v>#DIV/0!</v>
      </c>
      <c r="D17" s="119" t="e">
        <f>AVERAGE('G1-Taste'!D17,'G2-Taste'!D17)</f>
        <v>#DIV/0!</v>
      </c>
      <c r="E17" s="119" t="e">
        <f>AVERAGE('G1-Taste'!E17,'G2-Taste'!E17)</f>
        <v>#DIV/0!</v>
      </c>
      <c r="F17" s="120" t="e">
        <f>AVERAGE('G1-Taste'!F17,'G2-Taste'!F17)</f>
        <v>#DIV/0!</v>
      </c>
      <c r="G17" s="120" t="e">
        <f>AVERAGE('G1-Taste'!G17,'G2-Taste'!G17)</f>
        <v>#DIV/0!</v>
      </c>
      <c r="H17" s="120" t="e">
        <f>AVERAGE('G1-Taste'!H17,'G2-Taste'!H17)</f>
        <v>#DIV/0!</v>
      </c>
      <c r="I17" s="120" t="e">
        <f>AVERAGE('G1-Taste'!I17,'G2-Taste'!I17)</f>
        <v>#DIV/0!</v>
      </c>
      <c r="J17" s="121" t="e">
        <f>AVERAGE('G1-Taste'!J17,'G2-Taste'!J17)</f>
        <v>#DIV/0!</v>
      </c>
      <c r="K17" s="121" t="e">
        <f>AVERAGE('G1-Taste'!K17,'G2-Taste'!K17)</f>
        <v>#DIV/0!</v>
      </c>
      <c r="L17" s="121" t="e">
        <f>AVERAGE('G1-Taste'!L17,'G2-Taste'!L17)</f>
        <v>#DIV/0!</v>
      </c>
      <c r="M17" s="121" t="e">
        <f>AVERAGE('G1-Taste'!M17,'G2-Taste'!M17)</f>
        <v>#DIV/0!</v>
      </c>
      <c r="N17" s="119" t="e">
        <f>AVERAGE('G1-Taste'!N17,'G2-Taste'!N17)</f>
        <v>#DIV/0!</v>
      </c>
      <c r="O17" s="119" t="e">
        <f>AVERAGE('G1-Taste'!O17,'G2-Taste'!O17)</f>
        <v>#DIV/0!</v>
      </c>
      <c r="P17" s="119" t="e">
        <f>AVERAGE('G1-Taste'!P17,'G2-Taste'!P17)</f>
        <v>#DIV/0!</v>
      </c>
      <c r="Q17" s="119" t="e">
        <f>AVERAGE('G1-Taste'!Q17,'G2-Taste'!Q17)</f>
        <v>#DIV/0!</v>
      </c>
      <c r="R17" s="120" t="e">
        <f>AVERAGE('G1-Taste'!R17,'G2-Taste'!R17)</f>
        <v>#DIV/0!</v>
      </c>
      <c r="S17" s="120" t="e">
        <f>AVERAGE('G1-Taste'!S17,'G2-Taste'!S17)</f>
        <v>#DIV/0!</v>
      </c>
      <c r="T17" s="120" t="e">
        <f>AVERAGE('G1-Taste'!T17,'G2-Taste'!T17)</f>
        <v>#DIV/0!</v>
      </c>
      <c r="U17" s="120" t="e">
        <f>AVERAGE('G1-Taste'!U17,'G2-Taste'!U17)</f>
        <v>#DIV/0!</v>
      </c>
      <c r="V17" s="122" t="e">
        <f>AVERAGE('G1-Taste'!V17,'G2-Taste'!V17)</f>
        <v>#DIV/0!</v>
      </c>
      <c r="W17" s="122" t="e">
        <f>AVERAGE('G1-Taste'!W17,'G2-Taste'!W17)</f>
        <v>#DIV/0!</v>
      </c>
      <c r="X17" s="122" t="e">
        <f>AVERAGE('G1-Taste'!X17,'G2-Taste'!X17)</f>
        <v>#DIV/0!</v>
      </c>
      <c r="Y17" s="122" t="e">
        <f>AVERAGE('G1-Taste'!Y17,'G2-Taste'!Y17)</f>
        <v>#DIV/0!</v>
      </c>
      <c r="Z17" s="79" t="e">
        <f aca="true" t="shared" si="3" ref="Z17:Z24">IF(V17&lt;&gt;"",AVERAGE(B17,F17,J17,N17,R17,V17),"")</f>
        <v>#DIV/0!</v>
      </c>
      <c r="AA17" s="79" t="e">
        <f aca="true" t="shared" si="4" ref="AA17:AA24">IF(W17&lt;&gt;"",AVERAGE(C17,G17,K17,O17,S17,W17),"")</f>
        <v>#DIV/0!</v>
      </c>
      <c r="AB17" s="79" t="e">
        <f aca="true" t="shared" si="5" ref="AB17:AB24">IF(X17&lt;&gt;"",AVERAGE(D17,H17,L17,P17,T17,X17),"")</f>
        <v>#DIV/0!</v>
      </c>
      <c r="AC17" s="79" t="e">
        <f aca="true" t="shared" si="6" ref="AC17:AC24">IF(Y17&lt;&gt;"",AVERAGE(E17,I17,M17,Q17,U17,Y17),"")</f>
        <v>#DIV/0!</v>
      </c>
      <c r="AD17" s="123" t="e">
        <f aca="true" t="shared" si="7" ref="AD17:AD24">IF(AC17&lt;&gt;"",SUM(Z17:AC17),"")</f>
        <v>#DIV/0!</v>
      </c>
      <c r="AE17" s="124" t="e">
        <f>'Scoring Accuracy'!H21/6+AD17</f>
        <v>#VALUE!</v>
      </c>
    </row>
    <row r="18" spans="1:31" ht="12.75">
      <c r="A18" s="76">
        <f>IF(Exam_14=0,"",Exam_14)</f>
        <v>14</v>
      </c>
      <c r="B18" s="119" t="e">
        <f>AVERAGE('G1-Taste'!B18,'G2-Taste'!B18)</f>
        <v>#DIV/0!</v>
      </c>
      <c r="C18" s="119" t="e">
        <f>AVERAGE('G1-Taste'!C18,'G2-Taste'!C18)</f>
        <v>#DIV/0!</v>
      </c>
      <c r="D18" s="119" t="e">
        <f>AVERAGE('G1-Taste'!D18,'G2-Taste'!D18)</f>
        <v>#DIV/0!</v>
      </c>
      <c r="E18" s="119" t="e">
        <f>AVERAGE('G1-Taste'!E18,'G2-Taste'!E18)</f>
        <v>#DIV/0!</v>
      </c>
      <c r="F18" s="120" t="e">
        <f>AVERAGE('G1-Taste'!F18,'G2-Taste'!F18)</f>
        <v>#DIV/0!</v>
      </c>
      <c r="G18" s="120" t="e">
        <f>AVERAGE('G1-Taste'!G18,'G2-Taste'!G18)</f>
        <v>#DIV/0!</v>
      </c>
      <c r="H18" s="120" t="e">
        <f>AVERAGE('G1-Taste'!H18,'G2-Taste'!H18)</f>
        <v>#DIV/0!</v>
      </c>
      <c r="I18" s="120" t="e">
        <f>AVERAGE('G1-Taste'!I18,'G2-Taste'!I18)</f>
        <v>#DIV/0!</v>
      </c>
      <c r="J18" s="121" t="e">
        <f>AVERAGE('G1-Taste'!J18,'G2-Taste'!J18)</f>
        <v>#DIV/0!</v>
      </c>
      <c r="K18" s="121" t="e">
        <f>AVERAGE('G1-Taste'!K18,'G2-Taste'!K18)</f>
        <v>#DIV/0!</v>
      </c>
      <c r="L18" s="121" t="e">
        <f>AVERAGE('G1-Taste'!L18,'G2-Taste'!L18)</f>
        <v>#DIV/0!</v>
      </c>
      <c r="M18" s="121" t="e">
        <f>AVERAGE('G1-Taste'!M18,'G2-Taste'!M18)</f>
        <v>#DIV/0!</v>
      </c>
      <c r="N18" s="119" t="e">
        <f>AVERAGE('G1-Taste'!N18,'G2-Taste'!N18)</f>
        <v>#DIV/0!</v>
      </c>
      <c r="O18" s="119" t="e">
        <f>AVERAGE('G1-Taste'!O18,'G2-Taste'!O18)</f>
        <v>#DIV/0!</v>
      </c>
      <c r="P18" s="119" t="e">
        <f>AVERAGE('G1-Taste'!P18,'G2-Taste'!P18)</f>
        <v>#DIV/0!</v>
      </c>
      <c r="Q18" s="119" t="e">
        <f>AVERAGE('G1-Taste'!Q18,'G2-Taste'!Q18)</f>
        <v>#DIV/0!</v>
      </c>
      <c r="R18" s="120" t="e">
        <f>AVERAGE('G1-Taste'!R18,'G2-Taste'!R18)</f>
        <v>#DIV/0!</v>
      </c>
      <c r="S18" s="120" t="e">
        <f>AVERAGE('G1-Taste'!S18,'G2-Taste'!S18)</f>
        <v>#DIV/0!</v>
      </c>
      <c r="T18" s="120" t="e">
        <f>AVERAGE('G1-Taste'!T18,'G2-Taste'!T18)</f>
        <v>#DIV/0!</v>
      </c>
      <c r="U18" s="120" t="e">
        <f>AVERAGE('G1-Taste'!U18,'G2-Taste'!U18)</f>
        <v>#DIV/0!</v>
      </c>
      <c r="V18" s="122" t="e">
        <f>AVERAGE('G1-Taste'!V18,'G2-Taste'!V18)</f>
        <v>#DIV/0!</v>
      </c>
      <c r="W18" s="122" t="e">
        <f>AVERAGE('G1-Taste'!W18,'G2-Taste'!W18)</f>
        <v>#DIV/0!</v>
      </c>
      <c r="X18" s="122" t="e">
        <f>AVERAGE('G1-Taste'!X18,'G2-Taste'!X18)</f>
        <v>#DIV/0!</v>
      </c>
      <c r="Y18" s="122" t="e">
        <f>AVERAGE('G1-Taste'!Y18,'G2-Taste'!Y18)</f>
        <v>#DIV/0!</v>
      </c>
      <c r="Z18" s="79" t="e">
        <f t="shared" si="3"/>
        <v>#DIV/0!</v>
      </c>
      <c r="AA18" s="79" t="e">
        <f t="shared" si="4"/>
        <v>#DIV/0!</v>
      </c>
      <c r="AB18" s="79" t="e">
        <f t="shared" si="5"/>
        <v>#DIV/0!</v>
      </c>
      <c r="AC18" s="79" t="e">
        <f t="shared" si="6"/>
        <v>#DIV/0!</v>
      </c>
      <c r="AD18" s="123" t="e">
        <f t="shared" si="7"/>
        <v>#DIV/0!</v>
      </c>
      <c r="AE18" s="124" t="e">
        <f>'Scoring Accuracy'!H22/6+AD18</f>
        <v>#VALUE!</v>
      </c>
    </row>
    <row r="19" spans="1:31" ht="12.75">
      <c r="A19" s="76">
        <f>IF(Exam_15=0,"",Exam_15)</f>
        <v>15</v>
      </c>
      <c r="B19" s="119" t="e">
        <f>AVERAGE('G1-Taste'!B19,'G2-Taste'!B19)</f>
        <v>#DIV/0!</v>
      </c>
      <c r="C19" s="119" t="e">
        <f>AVERAGE('G1-Taste'!C19,'G2-Taste'!C19)</f>
        <v>#DIV/0!</v>
      </c>
      <c r="D19" s="119" t="e">
        <f>AVERAGE('G1-Taste'!D19,'G2-Taste'!D19)</f>
        <v>#DIV/0!</v>
      </c>
      <c r="E19" s="119" t="e">
        <f>AVERAGE('G1-Taste'!E19,'G2-Taste'!E19)</f>
        <v>#DIV/0!</v>
      </c>
      <c r="F19" s="120" t="e">
        <f>AVERAGE('G1-Taste'!F19,'G2-Taste'!F19)</f>
        <v>#DIV/0!</v>
      </c>
      <c r="G19" s="120" t="e">
        <f>AVERAGE('G1-Taste'!G19,'G2-Taste'!G19)</f>
        <v>#DIV/0!</v>
      </c>
      <c r="H19" s="120" t="e">
        <f>AVERAGE('G1-Taste'!H19,'G2-Taste'!H19)</f>
        <v>#DIV/0!</v>
      </c>
      <c r="I19" s="120" t="e">
        <f>AVERAGE('G1-Taste'!I19,'G2-Taste'!I19)</f>
        <v>#DIV/0!</v>
      </c>
      <c r="J19" s="121" t="e">
        <f>AVERAGE('G1-Taste'!J19,'G2-Taste'!J19)</f>
        <v>#DIV/0!</v>
      </c>
      <c r="K19" s="121" t="e">
        <f>AVERAGE('G1-Taste'!K19,'G2-Taste'!K19)</f>
        <v>#DIV/0!</v>
      </c>
      <c r="L19" s="121" t="e">
        <f>AVERAGE('G1-Taste'!L19,'G2-Taste'!L19)</f>
        <v>#DIV/0!</v>
      </c>
      <c r="M19" s="121" t="e">
        <f>AVERAGE('G1-Taste'!M19,'G2-Taste'!M19)</f>
        <v>#DIV/0!</v>
      </c>
      <c r="N19" s="119" t="e">
        <f>AVERAGE('G1-Taste'!N19,'G2-Taste'!N19)</f>
        <v>#DIV/0!</v>
      </c>
      <c r="O19" s="119" t="e">
        <f>AVERAGE('G1-Taste'!O19,'G2-Taste'!O19)</f>
        <v>#DIV/0!</v>
      </c>
      <c r="P19" s="119" t="e">
        <f>AVERAGE('G1-Taste'!P19,'G2-Taste'!P19)</f>
        <v>#DIV/0!</v>
      </c>
      <c r="Q19" s="119" t="e">
        <f>AVERAGE('G1-Taste'!Q19,'G2-Taste'!Q19)</f>
        <v>#DIV/0!</v>
      </c>
      <c r="R19" s="120" t="e">
        <f>AVERAGE('G1-Taste'!R19,'G2-Taste'!R19)</f>
        <v>#DIV/0!</v>
      </c>
      <c r="S19" s="120" t="e">
        <f>AVERAGE('G1-Taste'!S19,'G2-Taste'!S19)</f>
        <v>#DIV/0!</v>
      </c>
      <c r="T19" s="120" t="e">
        <f>AVERAGE('G1-Taste'!T19,'G2-Taste'!T19)</f>
        <v>#DIV/0!</v>
      </c>
      <c r="U19" s="120" t="e">
        <f>AVERAGE('G1-Taste'!U19,'G2-Taste'!U19)</f>
        <v>#DIV/0!</v>
      </c>
      <c r="V19" s="122" t="e">
        <f>AVERAGE('G1-Taste'!V19,'G2-Taste'!V19)</f>
        <v>#DIV/0!</v>
      </c>
      <c r="W19" s="122" t="e">
        <f>AVERAGE('G1-Taste'!W19,'G2-Taste'!W19)</f>
        <v>#DIV/0!</v>
      </c>
      <c r="X19" s="122" t="e">
        <f>AVERAGE('G1-Taste'!X19,'G2-Taste'!X19)</f>
        <v>#DIV/0!</v>
      </c>
      <c r="Y19" s="122" t="e">
        <f>AVERAGE('G1-Taste'!Y19,'G2-Taste'!Y19)</f>
        <v>#DIV/0!</v>
      </c>
      <c r="Z19" s="79" t="e">
        <f t="shared" si="3"/>
        <v>#DIV/0!</v>
      </c>
      <c r="AA19" s="79" t="e">
        <f t="shared" si="4"/>
        <v>#DIV/0!</v>
      </c>
      <c r="AB19" s="79" t="e">
        <f t="shared" si="5"/>
        <v>#DIV/0!</v>
      </c>
      <c r="AC19" s="79" t="e">
        <f t="shared" si="6"/>
        <v>#DIV/0!</v>
      </c>
      <c r="AD19" s="123" t="e">
        <f t="shared" si="7"/>
        <v>#DIV/0!</v>
      </c>
      <c r="AE19" s="124" t="e">
        <f>'Scoring Accuracy'!H23/6+AD19</f>
        <v>#VALUE!</v>
      </c>
    </row>
    <row r="20" spans="1:31" ht="12.75">
      <c r="A20" s="76">
        <f>IF(Exam_16=0,"",Exam_16)</f>
        <v>16</v>
      </c>
      <c r="B20" s="119" t="e">
        <f>AVERAGE('G1-Taste'!B20,'G2-Taste'!B20)</f>
        <v>#DIV/0!</v>
      </c>
      <c r="C20" s="119" t="e">
        <f>AVERAGE('G1-Taste'!C20,'G2-Taste'!C20)</f>
        <v>#DIV/0!</v>
      </c>
      <c r="D20" s="119" t="e">
        <f>AVERAGE('G1-Taste'!D20,'G2-Taste'!D20)</f>
        <v>#DIV/0!</v>
      </c>
      <c r="E20" s="119" t="e">
        <f>AVERAGE('G1-Taste'!E20,'G2-Taste'!E20)</f>
        <v>#DIV/0!</v>
      </c>
      <c r="F20" s="120" t="e">
        <f>AVERAGE('G1-Taste'!F20,'G2-Taste'!F20)</f>
        <v>#DIV/0!</v>
      </c>
      <c r="G20" s="120" t="e">
        <f>AVERAGE('G1-Taste'!G20,'G2-Taste'!G20)</f>
        <v>#DIV/0!</v>
      </c>
      <c r="H20" s="120" t="e">
        <f>AVERAGE('G1-Taste'!H20,'G2-Taste'!H20)</f>
        <v>#DIV/0!</v>
      </c>
      <c r="I20" s="120" t="e">
        <f>AVERAGE('G1-Taste'!I20,'G2-Taste'!I20)</f>
        <v>#DIV/0!</v>
      </c>
      <c r="J20" s="121" t="e">
        <f>AVERAGE('G1-Taste'!J20,'G2-Taste'!J20)</f>
        <v>#DIV/0!</v>
      </c>
      <c r="K20" s="121" t="e">
        <f>AVERAGE('G1-Taste'!K20,'G2-Taste'!K20)</f>
        <v>#DIV/0!</v>
      </c>
      <c r="L20" s="121" t="e">
        <f>AVERAGE('G1-Taste'!L20,'G2-Taste'!L20)</f>
        <v>#DIV/0!</v>
      </c>
      <c r="M20" s="121" t="e">
        <f>AVERAGE('G1-Taste'!M20,'G2-Taste'!M20)</f>
        <v>#DIV/0!</v>
      </c>
      <c r="N20" s="119" t="e">
        <f>AVERAGE('G1-Taste'!N20,'G2-Taste'!N20)</f>
        <v>#DIV/0!</v>
      </c>
      <c r="O20" s="119" t="e">
        <f>AVERAGE('G1-Taste'!O20,'G2-Taste'!O20)</f>
        <v>#DIV/0!</v>
      </c>
      <c r="P20" s="119" t="e">
        <f>AVERAGE('G1-Taste'!P20,'G2-Taste'!P20)</f>
        <v>#DIV/0!</v>
      </c>
      <c r="Q20" s="119" t="e">
        <f>AVERAGE('G1-Taste'!Q20,'G2-Taste'!Q20)</f>
        <v>#DIV/0!</v>
      </c>
      <c r="R20" s="120" t="e">
        <f>AVERAGE('G1-Taste'!R20,'G2-Taste'!R20)</f>
        <v>#DIV/0!</v>
      </c>
      <c r="S20" s="120" t="e">
        <f>AVERAGE('G1-Taste'!S20,'G2-Taste'!S20)</f>
        <v>#DIV/0!</v>
      </c>
      <c r="T20" s="120" t="e">
        <f>AVERAGE('G1-Taste'!T20,'G2-Taste'!T20)</f>
        <v>#DIV/0!</v>
      </c>
      <c r="U20" s="120" t="e">
        <f>AVERAGE('G1-Taste'!U20,'G2-Taste'!U20)</f>
        <v>#DIV/0!</v>
      </c>
      <c r="V20" s="122" t="e">
        <f>AVERAGE('G1-Taste'!V20,'G2-Taste'!V20)</f>
        <v>#DIV/0!</v>
      </c>
      <c r="W20" s="122" t="e">
        <f>AVERAGE('G1-Taste'!W20,'G2-Taste'!W20)</f>
        <v>#DIV/0!</v>
      </c>
      <c r="X20" s="122" t="e">
        <f>AVERAGE('G1-Taste'!X20,'G2-Taste'!X20)</f>
        <v>#DIV/0!</v>
      </c>
      <c r="Y20" s="122" t="e">
        <f>AVERAGE('G1-Taste'!Y20,'G2-Taste'!Y20)</f>
        <v>#DIV/0!</v>
      </c>
      <c r="Z20" s="79" t="e">
        <f t="shared" si="3"/>
        <v>#DIV/0!</v>
      </c>
      <c r="AA20" s="79" t="e">
        <f t="shared" si="4"/>
        <v>#DIV/0!</v>
      </c>
      <c r="AB20" s="79" t="e">
        <f t="shared" si="5"/>
        <v>#DIV/0!</v>
      </c>
      <c r="AC20" s="79" t="e">
        <f t="shared" si="6"/>
        <v>#DIV/0!</v>
      </c>
      <c r="AD20" s="123" t="e">
        <f t="shared" si="7"/>
        <v>#DIV/0!</v>
      </c>
      <c r="AE20" s="124" t="e">
        <f>'Scoring Accuracy'!H24/6+AD20</f>
        <v>#VALUE!</v>
      </c>
    </row>
    <row r="21" spans="1:31" ht="12.75">
      <c r="A21" s="76">
        <f>IF(Exam_17=0,"",Exam_17)</f>
        <v>17</v>
      </c>
      <c r="B21" s="119" t="e">
        <f>AVERAGE('G1-Taste'!B21,'G2-Taste'!B21)</f>
        <v>#DIV/0!</v>
      </c>
      <c r="C21" s="119" t="e">
        <f>AVERAGE('G1-Taste'!C21,'G2-Taste'!C21)</f>
        <v>#DIV/0!</v>
      </c>
      <c r="D21" s="119" t="e">
        <f>AVERAGE('G1-Taste'!D21,'G2-Taste'!D21)</f>
        <v>#DIV/0!</v>
      </c>
      <c r="E21" s="119" t="e">
        <f>AVERAGE('G1-Taste'!E21,'G2-Taste'!E21)</f>
        <v>#DIV/0!</v>
      </c>
      <c r="F21" s="120" t="e">
        <f>AVERAGE('G1-Taste'!F21,'G2-Taste'!F21)</f>
        <v>#DIV/0!</v>
      </c>
      <c r="G21" s="120" t="e">
        <f>AVERAGE('G1-Taste'!G21,'G2-Taste'!G21)</f>
        <v>#DIV/0!</v>
      </c>
      <c r="H21" s="120" t="e">
        <f>AVERAGE('G1-Taste'!H21,'G2-Taste'!H21)</f>
        <v>#DIV/0!</v>
      </c>
      <c r="I21" s="120" t="e">
        <f>AVERAGE('G1-Taste'!I21,'G2-Taste'!I21)</f>
        <v>#DIV/0!</v>
      </c>
      <c r="J21" s="121" t="e">
        <f>AVERAGE('G1-Taste'!J21,'G2-Taste'!J21)</f>
        <v>#DIV/0!</v>
      </c>
      <c r="K21" s="121" t="e">
        <f>AVERAGE('G1-Taste'!K21,'G2-Taste'!K21)</f>
        <v>#DIV/0!</v>
      </c>
      <c r="L21" s="121" t="e">
        <f>AVERAGE('G1-Taste'!L21,'G2-Taste'!L21)</f>
        <v>#DIV/0!</v>
      </c>
      <c r="M21" s="121" t="e">
        <f>AVERAGE('G1-Taste'!M21,'G2-Taste'!M21)</f>
        <v>#DIV/0!</v>
      </c>
      <c r="N21" s="119" t="e">
        <f>AVERAGE('G1-Taste'!N21,'G2-Taste'!N21)</f>
        <v>#DIV/0!</v>
      </c>
      <c r="O21" s="119" t="e">
        <f>AVERAGE('G1-Taste'!O21,'G2-Taste'!O21)</f>
        <v>#DIV/0!</v>
      </c>
      <c r="P21" s="119" t="e">
        <f>AVERAGE('G1-Taste'!P21,'G2-Taste'!P21)</f>
        <v>#DIV/0!</v>
      </c>
      <c r="Q21" s="119" t="e">
        <f>AVERAGE('G1-Taste'!Q21,'G2-Taste'!Q21)</f>
        <v>#DIV/0!</v>
      </c>
      <c r="R21" s="120" t="e">
        <f>AVERAGE('G1-Taste'!R21,'G2-Taste'!R21)</f>
        <v>#DIV/0!</v>
      </c>
      <c r="S21" s="120" t="e">
        <f>AVERAGE('G1-Taste'!S21,'G2-Taste'!S21)</f>
        <v>#DIV/0!</v>
      </c>
      <c r="T21" s="120" t="e">
        <f>AVERAGE('G1-Taste'!T21,'G2-Taste'!T21)</f>
        <v>#DIV/0!</v>
      </c>
      <c r="U21" s="120" t="e">
        <f>AVERAGE('G1-Taste'!U21,'G2-Taste'!U21)</f>
        <v>#DIV/0!</v>
      </c>
      <c r="V21" s="122" t="e">
        <f>AVERAGE('G1-Taste'!V21,'G2-Taste'!V21)</f>
        <v>#DIV/0!</v>
      </c>
      <c r="W21" s="122" t="e">
        <f>AVERAGE('G1-Taste'!W21,'G2-Taste'!W21)</f>
        <v>#DIV/0!</v>
      </c>
      <c r="X21" s="122" t="e">
        <f>AVERAGE('G1-Taste'!X21,'G2-Taste'!X21)</f>
        <v>#DIV/0!</v>
      </c>
      <c r="Y21" s="122" t="e">
        <f>AVERAGE('G1-Taste'!Y21,'G2-Taste'!Y21)</f>
        <v>#DIV/0!</v>
      </c>
      <c r="Z21" s="79" t="e">
        <f t="shared" si="3"/>
        <v>#DIV/0!</v>
      </c>
      <c r="AA21" s="79" t="e">
        <f t="shared" si="4"/>
        <v>#DIV/0!</v>
      </c>
      <c r="AB21" s="79" t="e">
        <f t="shared" si="5"/>
        <v>#DIV/0!</v>
      </c>
      <c r="AC21" s="79" t="e">
        <f t="shared" si="6"/>
        <v>#DIV/0!</v>
      </c>
      <c r="AD21" s="123" t="e">
        <f t="shared" si="7"/>
        <v>#DIV/0!</v>
      </c>
      <c r="AE21" s="124" t="e">
        <f>'Scoring Accuracy'!H25/6+AD21</f>
        <v>#VALUE!</v>
      </c>
    </row>
    <row r="22" spans="1:31" ht="12.75">
      <c r="A22" s="76">
        <f>IF(Exam_18=0,"",Exam_18)</f>
        <v>18</v>
      </c>
      <c r="B22" s="119" t="e">
        <f>AVERAGE('G1-Taste'!B22,'G2-Taste'!B22)</f>
        <v>#DIV/0!</v>
      </c>
      <c r="C22" s="119" t="e">
        <f>AVERAGE('G1-Taste'!C22,'G2-Taste'!C22)</f>
        <v>#DIV/0!</v>
      </c>
      <c r="D22" s="119" t="e">
        <f>AVERAGE('G1-Taste'!D22,'G2-Taste'!D22)</f>
        <v>#DIV/0!</v>
      </c>
      <c r="E22" s="119" t="e">
        <f>AVERAGE('G1-Taste'!E22,'G2-Taste'!E22)</f>
        <v>#DIV/0!</v>
      </c>
      <c r="F22" s="120" t="e">
        <f>AVERAGE('G1-Taste'!F22,'G2-Taste'!F22)</f>
        <v>#DIV/0!</v>
      </c>
      <c r="G22" s="120" t="e">
        <f>AVERAGE('G1-Taste'!G22,'G2-Taste'!G22)</f>
        <v>#DIV/0!</v>
      </c>
      <c r="H22" s="120" t="e">
        <f>AVERAGE('G1-Taste'!H22,'G2-Taste'!H22)</f>
        <v>#DIV/0!</v>
      </c>
      <c r="I22" s="120" t="e">
        <f>AVERAGE('G1-Taste'!I22,'G2-Taste'!I22)</f>
        <v>#DIV/0!</v>
      </c>
      <c r="J22" s="121" t="e">
        <f>AVERAGE('G1-Taste'!J22,'G2-Taste'!J22)</f>
        <v>#DIV/0!</v>
      </c>
      <c r="K22" s="121" t="e">
        <f>AVERAGE('G1-Taste'!K22,'G2-Taste'!K22)</f>
        <v>#DIV/0!</v>
      </c>
      <c r="L22" s="121" t="e">
        <f>AVERAGE('G1-Taste'!L22,'G2-Taste'!L22)</f>
        <v>#DIV/0!</v>
      </c>
      <c r="M22" s="121" t="e">
        <f>AVERAGE('G1-Taste'!M22,'G2-Taste'!M22)</f>
        <v>#DIV/0!</v>
      </c>
      <c r="N22" s="119" t="e">
        <f>AVERAGE('G1-Taste'!N22,'G2-Taste'!N22)</f>
        <v>#DIV/0!</v>
      </c>
      <c r="O22" s="119" t="e">
        <f>AVERAGE('G1-Taste'!O22,'G2-Taste'!O22)</f>
        <v>#DIV/0!</v>
      </c>
      <c r="P22" s="119" t="e">
        <f>AVERAGE('G1-Taste'!P22,'G2-Taste'!P22)</f>
        <v>#DIV/0!</v>
      </c>
      <c r="Q22" s="119" t="e">
        <f>AVERAGE('G1-Taste'!Q22,'G2-Taste'!Q22)</f>
        <v>#DIV/0!</v>
      </c>
      <c r="R22" s="120" t="e">
        <f>AVERAGE('G1-Taste'!R22,'G2-Taste'!R22)</f>
        <v>#DIV/0!</v>
      </c>
      <c r="S22" s="120" t="e">
        <f>AVERAGE('G1-Taste'!S22,'G2-Taste'!S22)</f>
        <v>#DIV/0!</v>
      </c>
      <c r="T22" s="120" t="e">
        <f>AVERAGE('G1-Taste'!T22,'G2-Taste'!T22)</f>
        <v>#DIV/0!</v>
      </c>
      <c r="U22" s="120" t="e">
        <f>AVERAGE('G1-Taste'!U22,'G2-Taste'!U22)</f>
        <v>#DIV/0!</v>
      </c>
      <c r="V22" s="122" t="e">
        <f>AVERAGE('G1-Taste'!V22,'G2-Taste'!V22)</f>
        <v>#DIV/0!</v>
      </c>
      <c r="W22" s="122" t="e">
        <f>AVERAGE('G1-Taste'!W22,'G2-Taste'!W22)</f>
        <v>#DIV/0!</v>
      </c>
      <c r="X22" s="122" t="e">
        <f>AVERAGE('G1-Taste'!X22,'G2-Taste'!X22)</f>
        <v>#DIV/0!</v>
      </c>
      <c r="Y22" s="122" t="e">
        <f>AVERAGE('G1-Taste'!Y22,'G2-Taste'!Y22)</f>
        <v>#DIV/0!</v>
      </c>
      <c r="Z22" s="79" t="e">
        <f t="shared" si="3"/>
        <v>#DIV/0!</v>
      </c>
      <c r="AA22" s="79" t="e">
        <f t="shared" si="4"/>
        <v>#DIV/0!</v>
      </c>
      <c r="AB22" s="79" t="e">
        <f t="shared" si="5"/>
        <v>#DIV/0!</v>
      </c>
      <c r="AC22" s="79" t="e">
        <f t="shared" si="6"/>
        <v>#DIV/0!</v>
      </c>
      <c r="AD22" s="123" t="e">
        <f t="shared" si="7"/>
        <v>#DIV/0!</v>
      </c>
      <c r="AE22" s="124" t="e">
        <f>'Scoring Accuracy'!H26/6+AD22</f>
        <v>#VALUE!</v>
      </c>
    </row>
    <row r="23" spans="1:31" ht="12.75">
      <c r="A23" s="76">
        <f>IF(Exam_19=0,"",Exam_19)</f>
        <v>19</v>
      </c>
      <c r="B23" s="119" t="e">
        <f>AVERAGE('G1-Taste'!B23,'G2-Taste'!B23)</f>
        <v>#DIV/0!</v>
      </c>
      <c r="C23" s="119" t="e">
        <f>AVERAGE('G1-Taste'!C23,'G2-Taste'!C23)</f>
        <v>#DIV/0!</v>
      </c>
      <c r="D23" s="119" t="e">
        <f>AVERAGE('G1-Taste'!D23,'G2-Taste'!D23)</f>
        <v>#DIV/0!</v>
      </c>
      <c r="E23" s="119" t="e">
        <f>AVERAGE('G1-Taste'!E23,'G2-Taste'!E23)</f>
        <v>#DIV/0!</v>
      </c>
      <c r="F23" s="120" t="e">
        <f>AVERAGE('G1-Taste'!F23,'G2-Taste'!F23)</f>
        <v>#DIV/0!</v>
      </c>
      <c r="G23" s="120" t="e">
        <f>AVERAGE('G1-Taste'!G23,'G2-Taste'!G23)</f>
        <v>#DIV/0!</v>
      </c>
      <c r="H23" s="120" t="e">
        <f>AVERAGE('G1-Taste'!H23,'G2-Taste'!H23)</f>
        <v>#DIV/0!</v>
      </c>
      <c r="I23" s="120" t="e">
        <f>AVERAGE('G1-Taste'!I23,'G2-Taste'!I23)</f>
        <v>#DIV/0!</v>
      </c>
      <c r="J23" s="121" t="e">
        <f>AVERAGE('G1-Taste'!J23,'G2-Taste'!J23)</f>
        <v>#DIV/0!</v>
      </c>
      <c r="K23" s="121" t="e">
        <f>AVERAGE('G1-Taste'!K23,'G2-Taste'!K23)</f>
        <v>#DIV/0!</v>
      </c>
      <c r="L23" s="121" t="e">
        <f>AVERAGE('G1-Taste'!L23,'G2-Taste'!L23)</f>
        <v>#DIV/0!</v>
      </c>
      <c r="M23" s="121" t="e">
        <f>AVERAGE('G1-Taste'!M23,'G2-Taste'!M23)</f>
        <v>#DIV/0!</v>
      </c>
      <c r="N23" s="119" t="e">
        <f>AVERAGE('G1-Taste'!N23,'G2-Taste'!N23)</f>
        <v>#DIV/0!</v>
      </c>
      <c r="O23" s="119" t="e">
        <f>AVERAGE('G1-Taste'!O23,'G2-Taste'!O23)</f>
        <v>#DIV/0!</v>
      </c>
      <c r="P23" s="119" t="e">
        <f>AVERAGE('G1-Taste'!P23,'G2-Taste'!P23)</f>
        <v>#DIV/0!</v>
      </c>
      <c r="Q23" s="119" t="e">
        <f>AVERAGE('G1-Taste'!Q23,'G2-Taste'!Q23)</f>
        <v>#DIV/0!</v>
      </c>
      <c r="R23" s="120" t="e">
        <f>AVERAGE('G1-Taste'!R23,'G2-Taste'!R23)</f>
        <v>#DIV/0!</v>
      </c>
      <c r="S23" s="120" t="e">
        <f>AVERAGE('G1-Taste'!S23,'G2-Taste'!S23)</f>
        <v>#DIV/0!</v>
      </c>
      <c r="T23" s="120" t="e">
        <f>AVERAGE('G1-Taste'!T23,'G2-Taste'!T23)</f>
        <v>#DIV/0!</v>
      </c>
      <c r="U23" s="120" t="e">
        <f>AVERAGE('G1-Taste'!U23,'G2-Taste'!U23)</f>
        <v>#DIV/0!</v>
      </c>
      <c r="V23" s="122" t="e">
        <f>AVERAGE('G1-Taste'!V23,'G2-Taste'!V23)</f>
        <v>#DIV/0!</v>
      </c>
      <c r="W23" s="122" t="e">
        <f>AVERAGE('G1-Taste'!W23,'G2-Taste'!W23)</f>
        <v>#DIV/0!</v>
      </c>
      <c r="X23" s="122" t="e">
        <f>AVERAGE('G1-Taste'!X23,'G2-Taste'!X23)</f>
        <v>#DIV/0!</v>
      </c>
      <c r="Y23" s="122" t="e">
        <f>AVERAGE('G1-Taste'!Y23,'G2-Taste'!Y23)</f>
        <v>#DIV/0!</v>
      </c>
      <c r="Z23" s="79" t="e">
        <f t="shared" si="3"/>
        <v>#DIV/0!</v>
      </c>
      <c r="AA23" s="79" t="e">
        <f t="shared" si="4"/>
        <v>#DIV/0!</v>
      </c>
      <c r="AB23" s="79" t="e">
        <f t="shared" si="5"/>
        <v>#DIV/0!</v>
      </c>
      <c r="AC23" s="79" t="e">
        <f t="shared" si="6"/>
        <v>#DIV/0!</v>
      </c>
      <c r="AD23" s="123" t="e">
        <f t="shared" si="7"/>
        <v>#DIV/0!</v>
      </c>
      <c r="AE23" s="124" t="e">
        <f>'Scoring Accuracy'!H27/6+AD23</f>
        <v>#VALUE!</v>
      </c>
    </row>
    <row r="24" spans="1:31" ht="12.75">
      <c r="A24" s="76">
        <f>IF(Exam_20=0,"",Exam_20)</f>
        <v>20</v>
      </c>
      <c r="B24" s="119" t="e">
        <f>AVERAGE('G1-Taste'!B24,'G2-Taste'!B24)</f>
        <v>#DIV/0!</v>
      </c>
      <c r="C24" s="119" t="e">
        <f>AVERAGE('G1-Taste'!C24,'G2-Taste'!C24)</f>
        <v>#DIV/0!</v>
      </c>
      <c r="D24" s="119" t="e">
        <f>AVERAGE('G1-Taste'!D24,'G2-Taste'!D24)</f>
        <v>#DIV/0!</v>
      </c>
      <c r="E24" s="119" t="e">
        <f>AVERAGE('G1-Taste'!E24,'G2-Taste'!E24)</f>
        <v>#DIV/0!</v>
      </c>
      <c r="F24" s="120" t="e">
        <f>AVERAGE('G1-Taste'!F24,'G2-Taste'!F24)</f>
        <v>#DIV/0!</v>
      </c>
      <c r="G24" s="120" t="e">
        <f>AVERAGE('G1-Taste'!G24,'G2-Taste'!G24)</f>
        <v>#DIV/0!</v>
      </c>
      <c r="H24" s="120" t="e">
        <f>AVERAGE('G1-Taste'!H24,'G2-Taste'!H24)</f>
        <v>#DIV/0!</v>
      </c>
      <c r="I24" s="120" t="e">
        <f>AVERAGE('G1-Taste'!I24,'G2-Taste'!I24)</f>
        <v>#DIV/0!</v>
      </c>
      <c r="J24" s="121" t="e">
        <f>AVERAGE('G1-Taste'!J24,'G2-Taste'!J24)</f>
        <v>#DIV/0!</v>
      </c>
      <c r="K24" s="121" t="e">
        <f>AVERAGE('G1-Taste'!K24,'G2-Taste'!K24)</f>
        <v>#DIV/0!</v>
      </c>
      <c r="L24" s="121" t="e">
        <f>AVERAGE('G1-Taste'!L24,'G2-Taste'!L24)</f>
        <v>#DIV/0!</v>
      </c>
      <c r="M24" s="121" t="e">
        <f>AVERAGE('G1-Taste'!M24,'G2-Taste'!M24)</f>
        <v>#DIV/0!</v>
      </c>
      <c r="N24" s="119" t="e">
        <f>AVERAGE('G1-Taste'!N24,'G2-Taste'!N24)</f>
        <v>#DIV/0!</v>
      </c>
      <c r="O24" s="119" t="e">
        <f>AVERAGE('G1-Taste'!O24,'G2-Taste'!O24)</f>
        <v>#DIV/0!</v>
      </c>
      <c r="P24" s="119" t="e">
        <f>AVERAGE('G1-Taste'!P24,'G2-Taste'!P24)</f>
        <v>#DIV/0!</v>
      </c>
      <c r="Q24" s="119" t="e">
        <f>AVERAGE('G1-Taste'!Q24,'G2-Taste'!Q24)</f>
        <v>#DIV/0!</v>
      </c>
      <c r="R24" s="120" t="e">
        <f>AVERAGE('G1-Taste'!R24,'G2-Taste'!R24)</f>
        <v>#DIV/0!</v>
      </c>
      <c r="S24" s="120" t="e">
        <f>AVERAGE('G1-Taste'!S24,'G2-Taste'!S24)</f>
        <v>#DIV/0!</v>
      </c>
      <c r="T24" s="120" t="e">
        <f>AVERAGE('G1-Taste'!T24,'G2-Taste'!T24)</f>
        <v>#DIV/0!</v>
      </c>
      <c r="U24" s="120" t="e">
        <f>AVERAGE('G1-Taste'!U24,'G2-Taste'!U24)</f>
        <v>#DIV/0!</v>
      </c>
      <c r="V24" s="122" t="e">
        <f>AVERAGE('G1-Taste'!V24,'G2-Taste'!V24)</f>
        <v>#DIV/0!</v>
      </c>
      <c r="W24" s="122" t="e">
        <f>AVERAGE('G1-Taste'!W24,'G2-Taste'!W24)</f>
        <v>#DIV/0!</v>
      </c>
      <c r="X24" s="122" t="e">
        <f>AVERAGE('G1-Taste'!X24,'G2-Taste'!X24)</f>
        <v>#DIV/0!</v>
      </c>
      <c r="Y24" s="122" t="e">
        <f>AVERAGE('G1-Taste'!Y24,'G2-Taste'!Y24)</f>
        <v>#DIV/0!</v>
      </c>
      <c r="Z24" s="79" t="e">
        <f t="shared" si="3"/>
        <v>#DIV/0!</v>
      </c>
      <c r="AA24" s="79" t="e">
        <f t="shared" si="4"/>
        <v>#DIV/0!</v>
      </c>
      <c r="AB24" s="79" t="e">
        <f t="shared" si="5"/>
        <v>#DIV/0!</v>
      </c>
      <c r="AC24" s="79" t="e">
        <f t="shared" si="6"/>
        <v>#DIV/0!</v>
      </c>
      <c r="AD24" s="123" t="e">
        <f t="shared" si="7"/>
        <v>#DIV/0!</v>
      </c>
      <c r="AE24" s="124" t="e">
        <f>'Scoring Accuracy'!H28/6+AD24</f>
        <v>#VALUE!</v>
      </c>
    </row>
    <row r="25" spans="1:31" ht="12.75">
      <c r="A25" s="76">
        <f>IF(Exam_21=0,"",Exam_21)</f>
        <v>21</v>
      </c>
      <c r="B25" s="127"/>
      <c r="C25" s="127"/>
      <c r="D25" s="127"/>
      <c r="E25" s="127"/>
      <c r="F25" s="129"/>
      <c r="G25" s="129"/>
      <c r="H25" s="129"/>
      <c r="I25" s="129"/>
      <c r="J25" s="128"/>
      <c r="K25" s="128"/>
      <c r="L25" s="128"/>
      <c r="M25" s="128"/>
      <c r="N25" s="127"/>
      <c r="O25" s="127"/>
      <c r="P25" s="127"/>
      <c r="Q25" s="127"/>
      <c r="R25" s="129"/>
      <c r="S25" s="129"/>
      <c r="T25" s="129"/>
      <c r="U25" s="129"/>
      <c r="V25" s="130"/>
      <c r="W25" s="130"/>
      <c r="X25" s="130"/>
      <c r="Y25" s="130"/>
      <c r="Z25" s="79">
        <f t="shared" si="0"/>
      </c>
      <c r="AA25" s="79">
        <f t="shared" si="0"/>
      </c>
      <c r="AB25" s="79">
        <f t="shared" si="0"/>
      </c>
      <c r="AC25" s="79">
        <f t="shared" si="0"/>
      </c>
      <c r="AD25" s="126">
        <f t="shared" si="1"/>
      </c>
      <c r="AE25" s="124"/>
    </row>
    <row r="26" spans="1:31" ht="12.75">
      <c r="A26" s="76">
        <f>IF(Exam_22=0,"",Exam_22)</f>
        <v>22</v>
      </c>
      <c r="B26" s="127"/>
      <c r="C26" s="127"/>
      <c r="D26" s="127"/>
      <c r="E26" s="127"/>
      <c r="F26" s="129"/>
      <c r="G26" s="129"/>
      <c r="H26" s="129"/>
      <c r="I26" s="129"/>
      <c r="J26" s="128"/>
      <c r="K26" s="128"/>
      <c r="L26" s="128"/>
      <c r="M26" s="128"/>
      <c r="N26" s="127"/>
      <c r="O26" s="127"/>
      <c r="P26" s="127"/>
      <c r="Q26" s="127"/>
      <c r="R26" s="129"/>
      <c r="S26" s="129"/>
      <c r="T26" s="129"/>
      <c r="U26" s="129"/>
      <c r="V26" s="130"/>
      <c r="W26" s="130"/>
      <c r="X26" s="130"/>
      <c r="Y26" s="130"/>
      <c r="Z26" s="79">
        <f t="shared" si="0"/>
      </c>
      <c r="AA26" s="79">
        <f t="shared" si="0"/>
      </c>
      <c r="AB26" s="79">
        <f t="shared" si="0"/>
      </c>
      <c r="AC26" s="79">
        <f t="shared" si="0"/>
      </c>
      <c r="AD26" s="126">
        <f t="shared" si="1"/>
      </c>
      <c r="AE26" s="124"/>
    </row>
    <row r="27" spans="1:31" ht="12.75">
      <c r="A27" s="76">
        <f>IF(Exam_23=0,"",Exam_23)</f>
        <v>23</v>
      </c>
      <c r="B27" s="127"/>
      <c r="C27" s="127"/>
      <c r="D27" s="127"/>
      <c r="E27" s="127"/>
      <c r="F27" s="129"/>
      <c r="G27" s="129"/>
      <c r="H27" s="129"/>
      <c r="I27" s="129"/>
      <c r="J27" s="128"/>
      <c r="K27" s="128"/>
      <c r="L27" s="128"/>
      <c r="M27" s="128"/>
      <c r="N27" s="127"/>
      <c r="O27" s="127"/>
      <c r="P27" s="127"/>
      <c r="Q27" s="127"/>
      <c r="R27" s="129"/>
      <c r="S27" s="129"/>
      <c r="T27" s="129"/>
      <c r="U27" s="129"/>
      <c r="V27" s="130"/>
      <c r="W27" s="130"/>
      <c r="X27" s="130"/>
      <c r="Y27" s="130"/>
      <c r="Z27" s="79">
        <f t="shared" si="0"/>
      </c>
      <c r="AA27" s="79">
        <f t="shared" si="0"/>
      </c>
      <c r="AB27" s="79">
        <f t="shared" si="0"/>
      </c>
      <c r="AC27" s="79">
        <f t="shared" si="0"/>
      </c>
      <c r="AD27" s="126">
        <f t="shared" si="1"/>
      </c>
      <c r="AE27" s="124"/>
    </row>
    <row r="28" spans="1:31" ht="12.75">
      <c r="A28" s="76">
        <f>IF(Exam_24=0,"",Exam_24)</f>
        <v>24</v>
      </c>
      <c r="B28" s="127"/>
      <c r="C28" s="127"/>
      <c r="D28" s="127"/>
      <c r="E28" s="127"/>
      <c r="F28" s="129"/>
      <c r="G28" s="129"/>
      <c r="H28" s="129"/>
      <c r="I28" s="129"/>
      <c r="J28" s="128"/>
      <c r="K28" s="128"/>
      <c r="L28" s="128"/>
      <c r="M28" s="128"/>
      <c r="N28" s="127"/>
      <c r="O28" s="127"/>
      <c r="P28" s="127"/>
      <c r="Q28" s="127"/>
      <c r="R28" s="129"/>
      <c r="S28" s="129"/>
      <c r="T28" s="129"/>
      <c r="U28" s="129"/>
      <c r="V28" s="130"/>
      <c r="W28" s="130"/>
      <c r="X28" s="130"/>
      <c r="Y28" s="130"/>
      <c r="Z28" s="79">
        <f t="shared" si="0"/>
      </c>
      <c r="AA28" s="79">
        <f t="shared" si="0"/>
      </c>
      <c r="AB28" s="79">
        <f t="shared" si="0"/>
      </c>
      <c r="AC28" s="79">
        <f t="shared" si="0"/>
      </c>
      <c r="AD28" s="126">
        <f t="shared" si="1"/>
      </c>
      <c r="AE28" s="124"/>
    </row>
  </sheetData>
  <sheetProtection/>
  <mergeCells count="9">
    <mergeCell ref="Z1:AC1"/>
    <mergeCell ref="B2:W2"/>
    <mergeCell ref="Z2:AC2"/>
    <mergeCell ref="B3:E3"/>
    <mergeCell ref="F3:I3"/>
    <mergeCell ref="J3:M3"/>
    <mergeCell ref="N3:Q3"/>
    <mergeCell ref="R3:U3"/>
    <mergeCell ref="V3:Y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850"/>
  <sheetViews>
    <sheetView zoomScalePageLayoutView="0" workbookViewId="0" topLeftCell="B1">
      <selection activeCell="I790" sqref="I790"/>
    </sheetView>
  </sheetViews>
  <sheetFormatPr defaultColWidth="11.00390625" defaultRowHeight="13.5" customHeight="1"/>
  <cols>
    <col min="1" max="1" width="11.00390625" style="80" customWidth="1"/>
    <col min="2" max="2" width="19.375" style="80" customWidth="1"/>
    <col min="3" max="16384" width="11.00390625" style="80" customWidth="1"/>
  </cols>
  <sheetData>
    <row r="1" spans="1:7" ht="13.5" customHeight="1">
      <c r="A1" s="131" t="s">
        <v>18</v>
      </c>
      <c r="B1" s="243" t="s">
        <v>70</v>
      </c>
      <c r="C1" s="243"/>
      <c r="D1" s="243"/>
      <c r="E1" s="243"/>
      <c r="F1" s="243"/>
      <c r="G1" s="243"/>
    </row>
    <row r="2" spans="1:7" ht="13.5" customHeight="1">
      <c r="A2" s="132">
        <f>Exam_01</f>
        <v>1</v>
      </c>
      <c r="B2" s="244"/>
      <c r="C2" s="244"/>
      <c r="D2" s="244"/>
      <c r="E2" s="244"/>
      <c r="F2" s="244"/>
      <c r="G2" s="244"/>
    </row>
    <row r="3" spans="2:7" ht="13.5" customHeight="1">
      <c r="B3" s="50" t="s">
        <v>68</v>
      </c>
      <c r="C3" s="54" t="s">
        <v>58</v>
      </c>
      <c r="D3" s="54" t="s">
        <v>59</v>
      </c>
      <c r="E3" s="54" t="s">
        <v>60</v>
      </c>
      <c r="F3" s="54" t="s">
        <v>61</v>
      </c>
      <c r="G3" s="54" t="s">
        <v>62</v>
      </c>
    </row>
    <row r="4" spans="2:7" ht="13.5" customHeight="1">
      <c r="B4" s="51" t="s">
        <v>63</v>
      </c>
      <c r="C4" s="55" t="e">
        <f>0.2*AVERAGE(VLOOKUP(Exam_01,Sum_Accuracy,9,FALSE),VLOOKUP(Exam_01,Sum_Accuracy,10,FALSE))</f>
        <v>#VALUE!</v>
      </c>
      <c r="D4" s="55" t="e">
        <f>0.2*AVERAGE(VLOOKUP(Exam_01,Sum_Accuracy,9,FALSE),VLOOKUP(Exam_01,Sum_Accuracy,10,FALSE))</f>
        <v>#VALUE!</v>
      </c>
      <c r="E4" s="55" t="e">
        <f>0.2*AVERAGE(VLOOKUP(Exam_01,Sum_Accuracy,9,FALSE),VLOOKUP(Exam_01,Sum_Accuracy,10,FALSE))</f>
        <v>#VALUE!</v>
      </c>
      <c r="F4" s="55" t="e">
        <f>0.2*AVERAGE(VLOOKUP(Exam_01,Sum_Accuracy,9,FALSE),VLOOKUP(Exam_01,Sum_Accuracy,10,FALSE))</f>
        <v>#VALUE!</v>
      </c>
      <c r="G4" s="55" t="e">
        <f>0.2*AVERAGE(VLOOKUP(Exam_01,Sum_Accuracy,9,FALSE),VLOOKUP(Exam_01,Sum_Accuracy,10,FALSE))</f>
        <v>#VALUE!</v>
      </c>
    </row>
    <row r="5" spans="2:7" ht="13.5" customHeight="1">
      <c r="B5" s="51" t="s">
        <v>69</v>
      </c>
      <c r="C5" s="55" t="e">
        <f>0.2*AVERAGE(VLOOKUP(Exam_01,Sum_Accuracy,11,FALSE),VLOOKUP(Exam_01,Sum_Accuracy,12,FALSE))</f>
        <v>#VALUE!</v>
      </c>
      <c r="D5" s="55" t="e">
        <f>0.2*AVERAGE(VLOOKUP(Exam_01,Sum_Accuracy,11,FALSE),VLOOKUP(Exam_01,Sum_Accuracy,12,FALSE))</f>
        <v>#VALUE!</v>
      </c>
      <c r="E5" s="55" t="e">
        <f>0.2*AVERAGE(VLOOKUP(Exam_01,Sum_Accuracy,11,FALSE),VLOOKUP(Exam_01,Sum_Accuracy,12,FALSE))</f>
        <v>#VALUE!</v>
      </c>
      <c r="F5" s="55" t="e">
        <f>0.2*AVERAGE(VLOOKUP(Exam_01,Sum_Accuracy,11,FALSE),VLOOKUP(Exam_01,Sum_Accuracy,12,FALSE))</f>
        <v>#VALUE!</v>
      </c>
      <c r="G5" s="55" t="e">
        <f>0.2*AVERAGE(VLOOKUP(Exam_01,Sum_Accuracy,11,FALSE),VLOOKUP(Exam_01,Sum_Accuracy,12,FALSE))</f>
        <v>#VALUE!</v>
      </c>
    </row>
    <row r="6" spans="2:7" ht="13.5" customHeight="1">
      <c r="B6" s="51" t="s">
        <v>64</v>
      </c>
      <c r="C6" s="55" t="e">
        <f>0.2*AVERAGE(VLOOKUP(Exam_01,Sum_Accuracy,13,FALSE),VLOOKUP(Exam_01,Sum_Accuracy,14,FALSE))</f>
        <v>#VALUE!</v>
      </c>
      <c r="D6" s="55" t="e">
        <f>0.2*AVERAGE(VLOOKUP(Exam_01,Sum_Accuracy,13,FALSE),VLOOKUP(Exam_01,Sum_Accuracy,14,FALSE))</f>
        <v>#VALUE!</v>
      </c>
      <c r="E6" s="55" t="e">
        <f>0.2*AVERAGE(VLOOKUP(Exam_01,Sum_Accuracy,13,FALSE),VLOOKUP(Exam_01,Sum_Accuracy,14,FALSE))</f>
        <v>#VALUE!</v>
      </c>
      <c r="F6" s="55" t="e">
        <f>0.2*AVERAGE(VLOOKUP(Exam_01,Sum_Accuracy,13,FALSE),VLOOKUP(Exam_01,Sum_Accuracy,14,FALSE))</f>
        <v>#VALUE!</v>
      </c>
      <c r="G6" s="55" t="e">
        <f>0.2*AVERAGE(VLOOKUP(Exam_01,Sum_Accuracy,13,FALSE),VLOOKUP(Exam_01,Sum_Accuracy,14,FALSE))</f>
        <v>#VALUE!</v>
      </c>
    </row>
    <row r="7" spans="2:7" ht="13.5" customHeight="1">
      <c r="B7" s="51" t="s">
        <v>65</v>
      </c>
      <c r="C7" s="55" t="e">
        <f>0.2*AVERAGE(VLOOKUP(Exam_01,Sum_Accuracy,15,FALSE),VLOOKUP(Exam_01,Sum_Accuracy,16,FALSE))</f>
        <v>#VALUE!</v>
      </c>
      <c r="D7" s="55" t="e">
        <f>0.2*AVERAGE(VLOOKUP(Exam_01,Sum_Accuracy,15,FALSE),VLOOKUP(Exam_01,Sum_Accuracy,16,FALSE))</f>
        <v>#VALUE!</v>
      </c>
      <c r="E7" s="55" t="e">
        <f>0.2*AVERAGE(VLOOKUP(Exam_01,Sum_Accuracy,15,FALSE),VLOOKUP(Exam_01,Sum_Accuracy,16,FALSE))</f>
        <v>#VALUE!</v>
      </c>
      <c r="F7" s="55" t="e">
        <f>0.2*AVERAGE(VLOOKUP(Exam_01,Sum_Accuracy,15,FALSE),VLOOKUP(Exam_01,Sum_Accuracy,16,FALSE))</f>
        <v>#VALUE!</v>
      </c>
      <c r="G7" s="55" t="e">
        <f>0.2*AVERAGE(VLOOKUP(Exam_01,Sum_Accuracy,15,FALSE),VLOOKUP(Exam_01,Sum_Accuracy,16,FALSE))</f>
        <v>#VALUE!</v>
      </c>
    </row>
    <row r="8" spans="2:7" ht="13.5" customHeight="1">
      <c r="B8" s="51" t="s">
        <v>66</v>
      </c>
      <c r="C8" s="55" t="e">
        <f>VLOOKUP(Exam_01,Sum_Accuracy,8,FALSE)/5</f>
        <v>#VALUE!</v>
      </c>
      <c r="D8" s="55" t="e">
        <f>VLOOKUP(Exam_01,Sum_Accuracy,8,FALSE)/5</f>
        <v>#VALUE!</v>
      </c>
      <c r="E8" s="55" t="e">
        <f>VLOOKUP(Exam_01,Sum_Accuracy,8,FALSE)/5</f>
        <v>#VALUE!</v>
      </c>
      <c r="F8" s="55" t="e">
        <f>VLOOKUP(Exam_01,Sum_Accuracy,8,FALSE)/5</f>
        <v>#VALUE!</v>
      </c>
      <c r="G8" s="55" t="e">
        <f>VLOOKUP(Exam_01,Sum_Accuracy,8,FALSE)/5</f>
        <v>#VALUE!</v>
      </c>
    </row>
    <row r="9" spans="2:6" ht="13.5" customHeight="1">
      <c r="B9" s="146"/>
      <c r="C9" s="147"/>
      <c r="D9" s="147"/>
      <c r="E9" s="147"/>
      <c r="F9" s="147"/>
    </row>
    <row r="10" spans="2:7" ht="13.5" customHeight="1">
      <c r="B10" s="241"/>
      <c r="C10" s="241"/>
      <c r="D10" s="241"/>
      <c r="E10" s="241"/>
      <c r="F10" s="241"/>
      <c r="G10" s="241"/>
    </row>
    <row r="11" spans="2:7" ht="13.5" customHeight="1">
      <c r="B11" s="245" t="s">
        <v>67</v>
      </c>
      <c r="C11" s="245"/>
      <c r="D11" s="245"/>
      <c r="E11" s="245"/>
      <c r="F11" s="245"/>
      <c r="G11" s="245"/>
    </row>
    <row r="12" spans="2:7" ht="13.5" customHeight="1">
      <c r="B12" s="246"/>
      <c r="C12" s="246"/>
      <c r="D12" s="246"/>
      <c r="E12" s="246"/>
      <c r="F12" s="246"/>
      <c r="G12" s="246"/>
    </row>
    <row r="13" spans="2:7" ht="13.5" customHeight="1">
      <c r="B13" s="52" t="s">
        <v>71</v>
      </c>
      <c r="C13" s="242" t="str">
        <f>BeerName1</f>
        <v>Style1</v>
      </c>
      <c r="D13" s="242"/>
      <c r="E13" s="242"/>
      <c r="F13" s="242"/>
      <c r="G13" s="242"/>
    </row>
    <row r="14" spans="2:7" ht="13.5" customHeight="1">
      <c r="B14" s="241"/>
      <c r="C14" s="241"/>
      <c r="D14" s="241"/>
      <c r="E14" s="241"/>
      <c r="F14" s="241"/>
      <c r="G14" s="241"/>
    </row>
    <row r="15" spans="2:7" ht="13.5" customHeight="1">
      <c r="B15" s="50" t="s">
        <v>68</v>
      </c>
      <c r="C15" s="54" t="s">
        <v>58</v>
      </c>
      <c r="D15" s="54" t="s">
        <v>59</v>
      </c>
      <c r="E15" s="54" t="s">
        <v>60</v>
      </c>
      <c r="F15" s="54" t="s">
        <v>61</v>
      </c>
      <c r="G15" s="54" t="s">
        <v>62</v>
      </c>
    </row>
    <row r="16" spans="2:7" ht="13.5" customHeight="1">
      <c r="B16" s="51" t="s">
        <v>63</v>
      </c>
      <c r="C16" s="55" t="e">
        <f>VLOOKUP(Exam_01,AverageScores,b1_perception,FALSE)</f>
        <v>#DIV/0!</v>
      </c>
      <c r="D16" s="55" t="e">
        <f>VLOOKUP(Exam_01,AverageScores,b1_perception,FALSE)</f>
        <v>#DIV/0!</v>
      </c>
      <c r="E16" s="55" t="e">
        <f>VLOOKUP(Exam_01,AverageScores,b1_perception,FALSE)</f>
        <v>#DIV/0!</v>
      </c>
      <c r="F16" s="55" t="e">
        <f>VLOOKUP(Exam_01,AverageScores,b1_perception,FALSE)</f>
        <v>#DIV/0!</v>
      </c>
      <c r="G16" s="55" t="e">
        <f>VLOOKUP(Exam_01,AverageScores,b1_perception,FALSE)</f>
        <v>#DIV/0!</v>
      </c>
    </row>
    <row r="17" spans="2:7" ht="13.5" customHeight="1">
      <c r="B17" s="51" t="s">
        <v>69</v>
      </c>
      <c r="C17" s="55" t="e">
        <f>VLOOKUP(Exam_01,AverageScores,b1_descriptive,FALSE)</f>
        <v>#DIV/0!</v>
      </c>
      <c r="D17" s="55" t="e">
        <f>VLOOKUP(Exam_01,AverageScores,b1_descriptive,FALSE)</f>
        <v>#DIV/0!</v>
      </c>
      <c r="E17" s="55" t="e">
        <f>VLOOKUP(Exam_01,AverageScores,b1_descriptive,FALSE)</f>
        <v>#DIV/0!</v>
      </c>
      <c r="F17" s="55" t="e">
        <f>VLOOKUP(Exam_01,AverageScores,b1_descriptive,FALSE)</f>
        <v>#DIV/0!</v>
      </c>
      <c r="G17" s="55" t="e">
        <f>VLOOKUP(Exam_01,AverageScores,b1_descriptive,FALSE)</f>
        <v>#DIV/0!</v>
      </c>
    </row>
    <row r="18" spans="2:7" ht="13.5" customHeight="1">
      <c r="B18" s="51" t="s">
        <v>64</v>
      </c>
      <c r="C18" s="55" t="e">
        <f>VLOOKUP(Exam_01,AverageScores,b1_feedback,FALSE)</f>
        <v>#DIV/0!</v>
      </c>
      <c r="D18" s="55" t="e">
        <f>VLOOKUP(Exam_01,AverageScores,b1_feedback,FALSE)</f>
        <v>#DIV/0!</v>
      </c>
      <c r="E18" s="55" t="e">
        <f>VLOOKUP(Exam_01,AverageScores,b1_feedback,FALSE)</f>
        <v>#DIV/0!</v>
      </c>
      <c r="F18" s="55" t="e">
        <f>VLOOKUP(Exam_01,AverageScores,b1_feedback,FALSE)</f>
        <v>#DIV/0!</v>
      </c>
      <c r="G18" s="55" t="e">
        <f>VLOOKUP(Exam_01,AverageScores,b1_feedback,FALSE)</f>
        <v>#DIV/0!</v>
      </c>
    </row>
    <row r="19" spans="2:7" ht="13.5" customHeight="1">
      <c r="B19" s="51" t="s">
        <v>65</v>
      </c>
      <c r="C19" s="55" t="e">
        <f>VLOOKUP(Exam_01,AverageScores,b1_completeness,FALSE)</f>
        <v>#DIV/0!</v>
      </c>
      <c r="D19" s="55" t="e">
        <f>VLOOKUP(Exam_01,AverageScores,b1_completeness,FALSE)</f>
        <v>#DIV/0!</v>
      </c>
      <c r="E19" s="55" t="e">
        <f>VLOOKUP(Exam_01,AverageScores,b1_completeness,FALSE)</f>
        <v>#DIV/0!</v>
      </c>
      <c r="F19" s="55" t="e">
        <f>VLOOKUP(Exam_01,AverageScores,b1_completeness,FALSE)</f>
        <v>#DIV/0!</v>
      </c>
      <c r="G19" s="55" t="e">
        <f>VLOOKUP(Exam_01,AverageScores,b1_completeness,FALSE)</f>
        <v>#DIV/0!</v>
      </c>
    </row>
    <row r="20" spans="2:7" ht="13.5" customHeight="1">
      <c r="B20" s="51" t="s">
        <v>66</v>
      </c>
      <c r="C20" s="55">
        <f>VLOOKUP(Exam_01,ScoringAccuracyTable,b1_accuracy,FALSE)</f>
      </c>
      <c r="D20" s="55">
        <f>VLOOKUP(Exam_01,ScoringAccuracyTable,b1_accuracy,FALSE)</f>
      </c>
      <c r="E20" s="55">
        <f>VLOOKUP(Exam_01,ScoringAccuracyTable,b1_accuracy,FALSE)</f>
      </c>
      <c r="F20" s="55">
        <f>VLOOKUP(Exam_01,ScoringAccuracyTable,b1_accuracy,FALSE)</f>
      </c>
      <c r="G20" s="55">
        <f>VLOOKUP(Exam_01,ScoringAccuracyTable,b1_accuracy,FALSE)</f>
      </c>
    </row>
    <row r="21" spans="2:7" ht="13.5" customHeight="1">
      <c r="B21" s="241"/>
      <c r="C21" s="241"/>
      <c r="D21" s="241"/>
      <c r="E21" s="241"/>
      <c r="F21" s="241"/>
      <c r="G21" s="241"/>
    </row>
    <row r="22" spans="2:7" ht="13.5" customHeight="1">
      <c r="B22" s="52" t="s">
        <v>72</v>
      </c>
      <c r="C22" s="242" t="str">
        <f>BeerName2</f>
        <v>Style2</v>
      </c>
      <c r="D22" s="242"/>
      <c r="E22" s="242"/>
      <c r="F22" s="242"/>
      <c r="G22" s="242"/>
    </row>
    <row r="23" spans="2:7" ht="13.5" customHeight="1">
      <c r="B23" s="247"/>
      <c r="C23" s="247"/>
      <c r="D23" s="247"/>
      <c r="E23" s="247"/>
      <c r="F23" s="247"/>
      <c r="G23" s="247"/>
    </row>
    <row r="24" spans="2:7" ht="13.5" customHeight="1">
      <c r="B24" s="50" t="s">
        <v>68</v>
      </c>
      <c r="C24" s="56" t="s">
        <v>58</v>
      </c>
      <c r="D24" s="56" t="s">
        <v>59</v>
      </c>
      <c r="E24" s="56" t="s">
        <v>60</v>
      </c>
      <c r="F24" s="56" t="s">
        <v>61</v>
      </c>
      <c r="G24" s="56" t="s">
        <v>62</v>
      </c>
    </row>
    <row r="25" spans="2:7" ht="13.5" customHeight="1">
      <c r="B25" s="51" t="s">
        <v>63</v>
      </c>
      <c r="C25" s="55" t="e">
        <f>VLOOKUP(Exam_01,AverageScores,b2_perceptive,FALSE)</f>
        <v>#DIV/0!</v>
      </c>
      <c r="D25" s="55" t="e">
        <f>VLOOKUP(Exam_01,AverageScores,b2_perceptive,FALSE)</f>
        <v>#DIV/0!</v>
      </c>
      <c r="E25" s="55" t="e">
        <f>VLOOKUP(Exam_01,AverageScores,b2_perceptive,FALSE)</f>
        <v>#DIV/0!</v>
      </c>
      <c r="F25" s="55" t="e">
        <f>VLOOKUP(Exam_01,AverageScores,b2_perceptive,FALSE)</f>
        <v>#DIV/0!</v>
      </c>
      <c r="G25" s="55" t="e">
        <f>VLOOKUP(Exam_01,AverageScores,b2_perceptive,FALSE)</f>
        <v>#DIV/0!</v>
      </c>
    </row>
    <row r="26" spans="2:7" ht="13.5" customHeight="1">
      <c r="B26" s="51" t="s">
        <v>69</v>
      </c>
      <c r="C26" s="55" t="e">
        <f>VLOOKUP(Exam_01,AverageScores,b2_descriptive,FALSE)</f>
        <v>#DIV/0!</v>
      </c>
      <c r="D26" s="55" t="e">
        <f>VLOOKUP(Exam_01,AverageScores,b2_descriptive,FALSE)</f>
        <v>#DIV/0!</v>
      </c>
      <c r="E26" s="55" t="e">
        <f>VLOOKUP(Exam_01,AverageScores,b2_descriptive,FALSE)</f>
        <v>#DIV/0!</v>
      </c>
      <c r="F26" s="55" t="e">
        <f>VLOOKUP(Exam_01,AverageScores,b2_descriptive,FALSE)</f>
        <v>#DIV/0!</v>
      </c>
      <c r="G26" s="55" t="e">
        <f>VLOOKUP(Exam_01,AverageScores,b2_descriptive,FALSE)</f>
        <v>#DIV/0!</v>
      </c>
    </row>
    <row r="27" spans="2:7" ht="13.5" customHeight="1">
      <c r="B27" s="51" t="s">
        <v>64</v>
      </c>
      <c r="C27" s="55" t="e">
        <f>VLOOKUP(Exam_01,AverageScores,b2_feedback,FALSE)</f>
        <v>#DIV/0!</v>
      </c>
      <c r="D27" s="55" t="e">
        <f>VLOOKUP(Exam_01,AverageScores,b2_feedback,FALSE)</f>
        <v>#DIV/0!</v>
      </c>
      <c r="E27" s="55" t="e">
        <f>VLOOKUP(Exam_01,AverageScores,b2_feedback,FALSE)</f>
        <v>#DIV/0!</v>
      </c>
      <c r="F27" s="55" t="e">
        <f>VLOOKUP(Exam_01,AverageScores,b2_feedback,FALSE)</f>
        <v>#DIV/0!</v>
      </c>
      <c r="G27" s="55" t="e">
        <f>VLOOKUP(Exam_01,AverageScores,b2_feedback,FALSE)</f>
        <v>#DIV/0!</v>
      </c>
    </row>
    <row r="28" spans="2:7" ht="13.5" customHeight="1">
      <c r="B28" s="51" t="s">
        <v>65</v>
      </c>
      <c r="C28" s="55" t="e">
        <f>VLOOKUP(Exam_01,AverageScores,b2_completeness,FALSE)</f>
        <v>#DIV/0!</v>
      </c>
      <c r="D28" s="55" t="e">
        <f>VLOOKUP(Exam_01,AverageScores,b2_completeness,FALSE)</f>
        <v>#DIV/0!</v>
      </c>
      <c r="E28" s="55" t="e">
        <f>VLOOKUP(Exam_01,AverageScores,b2_completeness,FALSE)</f>
        <v>#DIV/0!</v>
      </c>
      <c r="F28" s="55" t="e">
        <f>VLOOKUP(Exam_01,AverageScores,b2_completeness,FALSE)</f>
        <v>#DIV/0!</v>
      </c>
      <c r="G28" s="55" t="e">
        <f>VLOOKUP(Exam_01,AverageScores,b2_completeness,FALSE)</f>
        <v>#DIV/0!</v>
      </c>
    </row>
    <row r="29" spans="2:7" ht="13.5" customHeight="1">
      <c r="B29" s="51" t="s">
        <v>66</v>
      </c>
      <c r="C29" s="55">
        <f>VLOOKUP(Exam_01,ScoringAccuracyTable,b2_accuracy,FALSE)</f>
      </c>
      <c r="D29" s="55">
        <f>VLOOKUP(Exam_01,ScoringAccuracyTable,b2_accuracy,FALSE)</f>
      </c>
      <c r="E29" s="55">
        <f>VLOOKUP(Exam_01,ScoringAccuracyTable,b2_accuracy,FALSE)</f>
      </c>
      <c r="F29" s="55">
        <f>VLOOKUP(Exam_01,ScoringAccuracyTable,b2_accuracy,FALSE)</f>
      </c>
      <c r="G29" s="55">
        <f>VLOOKUP(Exam_01,ScoringAccuracyTable,b2_accuracy,FALSE)</f>
      </c>
    </row>
    <row r="30" spans="2:7" ht="13.5" customHeight="1">
      <c r="B30" s="241"/>
      <c r="C30" s="241"/>
      <c r="D30" s="241"/>
      <c r="E30" s="241"/>
      <c r="F30" s="241"/>
      <c r="G30" s="241"/>
    </row>
    <row r="31" spans="2:7" ht="13.5" customHeight="1">
      <c r="B31" s="52" t="s">
        <v>76</v>
      </c>
      <c r="C31" s="242" t="str">
        <f>BeerName3</f>
        <v>Style3</v>
      </c>
      <c r="D31" s="242"/>
      <c r="E31" s="242"/>
      <c r="F31" s="242"/>
      <c r="G31" s="242"/>
    </row>
    <row r="32" spans="2:7" ht="13.5" customHeight="1">
      <c r="B32" s="247"/>
      <c r="C32" s="247"/>
      <c r="D32" s="247"/>
      <c r="E32" s="247"/>
      <c r="F32" s="247"/>
      <c r="G32" s="247"/>
    </row>
    <row r="33" spans="2:7" ht="13.5" customHeight="1">
      <c r="B33" s="50" t="s">
        <v>68</v>
      </c>
      <c r="C33" s="54" t="s">
        <v>58</v>
      </c>
      <c r="D33" s="54" t="s">
        <v>59</v>
      </c>
      <c r="E33" s="54" t="s">
        <v>60</v>
      </c>
      <c r="F33" s="54" t="s">
        <v>61</v>
      </c>
      <c r="G33" s="54" t="s">
        <v>62</v>
      </c>
    </row>
    <row r="34" spans="2:7" ht="13.5" customHeight="1">
      <c r="B34" s="51" t="s">
        <v>63</v>
      </c>
      <c r="C34" s="55" t="e">
        <f>VLOOKUP(Exam_01,AverageScores,b3_perception,FALSE)</f>
        <v>#DIV/0!</v>
      </c>
      <c r="D34" s="55" t="e">
        <f>VLOOKUP(Exam_01,AverageScores,b3_perception,FALSE)</f>
        <v>#DIV/0!</v>
      </c>
      <c r="E34" s="55" t="e">
        <f>VLOOKUP(Exam_01,AverageScores,b3_perception,FALSE)</f>
        <v>#DIV/0!</v>
      </c>
      <c r="F34" s="55" t="e">
        <f>VLOOKUP(Exam_01,AverageScores,b3_perception,FALSE)</f>
        <v>#DIV/0!</v>
      </c>
      <c r="G34" s="55" t="e">
        <f>VLOOKUP(Exam_01,AverageScores,b3_perception,FALSE)</f>
        <v>#DIV/0!</v>
      </c>
    </row>
    <row r="35" spans="2:7" ht="13.5" customHeight="1">
      <c r="B35" s="51" t="s">
        <v>69</v>
      </c>
      <c r="C35" s="55" t="e">
        <f>VLOOKUP(Exam_01,AverageScores,b3_descriptive,FALSE)</f>
        <v>#DIV/0!</v>
      </c>
      <c r="D35" s="55" t="e">
        <f>VLOOKUP(Exam_01,AverageScores,b3_descriptive,FALSE)</f>
        <v>#DIV/0!</v>
      </c>
      <c r="E35" s="55" t="e">
        <f>VLOOKUP(Exam_01,AverageScores,b3_descriptive,FALSE)</f>
        <v>#DIV/0!</v>
      </c>
      <c r="F35" s="55" t="e">
        <f>VLOOKUP(Exam_01,AverageScores,b3_descriptive,FALSE)</f>
        <v>#DIV/0!</v>
      </c>
      <c r="G35" s="55" t="e">
        <f>VLOOKUP(Exam_01,AverageScores,b3_descriptive,FALSE)</f>
        <v>#DIV/0!</v>
      </c>
    </row>
    <row r="36" spans="2:7" ht="13.5" customHeight="1">
      <c r="B36" s="51" t="s">
        <v>64</v>
      </c>
      <c r="C36" s="55" t="e">
        <f>VLOOKUP(Exam_01,AverageScores,b3_feedback,FALSE)</f>
        <v>#DIV/0!</v>
      </c>
      <c r="D36" s="55" t="e">
        <f>VLOOKUP(Exam_01,AverageScores,b3_feedback,FALSE)</f>
        <v>#DIV/0!</v>
      </c>
      <c r="E36" s="55" t="e">
        <f>VLOOKUP(Exam_01,AverageScores,b3_feedback,FALSE)</f>
        <v>#DIV/0!</v>
      </c>
      <c r="F36" s="55" t="e">
        <f>VLOOKUP(Exam_01,AverageScores,b3_feedback,FALSE)</f>
        <v>#DIV/0!</v>
      </c>
      <c r="G36" s="55" t="e">
        <f>VLOOKUP(Exam_01,AverageScores,b3_feedback,FALSE)</f>
        <v>#DIV/0!</v>
      </c>
    </row>
    <row r="37" spans="2:7" ht="13.5" customHeight="1">
      <c r="B37" s="51" t="s">
        <v>65</v>
      </c>
      <c r="C37" s="55" t="e">
        <f>VLOOKUP(Exam_01,AverageScores,b3_completeness,FALSE)</f>
        <v>#DIV/0!</v>
      </c>
      <c r="D37" s="55" t="e">
        <f>VLOOKUP(Exam_01,AverageScores,b3_completeness,FALSE)</f>
        <v>#DIV/0!</v>
      </c>
      <c r="E37" s="55" t="e">
        <f>VLOOKUP(Exam_01,AverageScores,b3_completeness,FALSE)</f>
        <v>#DIV/0!</v>
      </c>
      <c r="F37" s="55" t="e">
        <f>VLOOKUP(Exam_01,AverageScores,b3_completeness,FALSE)</f>
        <v>#DIV/0!</v>
      </c>
      <c r="G37" s="55" t="e">
        <f>VLOOKUP(Exam_01,AverageScores,b3_completeness,FALSE)</f>
        <v>#DIV/0!</v>
      </c>
    </row>
    <row r="38" spans="2:7" ht="13.5" customHeight="1">
      <c r="B38" s="51" t="s">
        <v>66</v>
      </c>
      <c r="C38" s="55">
        <f>VLOOKUP(Exam_01,ScoringAccuracyTable,b3_accuracy,FALSE)</f>
      </c>
      <c r="D38" s="55">
        <f>VLOOKUP(Exam_01,ScoringAccuracyTable,b3_accuracy,FALSE)</f>
      </c>
      <c r="E38" s="55">
        <f>VLOOKUP(Exam_01,ScoringAccuracyTable,b3_accuracy,FALSE)</f>
      </c>
      <c r="F38" s="55">
        <f>VLOOKUP(Exam_01,ScoringAccuracyTable,b3_accuracy,FALSE)</f>
      </c>
      <c r="G38" s="55">
        <f>VLOOKUP(Exam_01,ScoringAccuracyTable,b3_accuracy,FALSE)</f>
      </c>
    </row>
    <row r="39" spans="2:7" ht="13.5" customHeight="1">
      <c r="B39" s="241"/>
      <c r="C39" s="241"/>
      <c r="D39" s="241"/>
      <c r="E39" s="241"/>
      <c r="F39" s="241"/>
      <c r="G39" s="241"/>
    </row>
    <row r="40" spans="2:7" ht="13.5" customHeight="1">
      <c r="B40" s="52" t="s">
        <v>75</v>
      </c>
      <c r="C40" s="242" t="str">
        <f>BeerName4</f>
        <v>Style4</v>
      </c>
      <c r="D40" s="242"/>
      <c r="E40" s="242"/>
      <c r="F40" s="242"/>
      <c r="G40" s="242"/>
    </row>
    <row r="41" spans="2:7" ht="13.5" customHeight="1">
      <c r="B41" s="241"/>
      <c r="C41" s="241"/>
      <c r="D41" s="241"/>
      <c r="E41" s="241"/>
      <c r="F41" s="241"/>
      <c r="G41" s="241"/>
    </row>
    <row r="42" spans="2:7" ht="13.5" customHeight="1">
      <c r="B42" s="50" t="s">
        <v>68</v>
      </c>
      <c r="C42" s="54" t="s">
        <v>58</v>
      </c>
      <c r="D42" s="54" t="s">
        <v>59</v>
      </c>
      <c r="E42" s="54" t="s">
        <v>60</v>
      </c>
      <c r="F42" s="54" t="s">
        <v>61</v>
      </c>
      <c r="G42" s="54" t="s">
        <v>62</v>
      </c>
    </row>
    <row r="43" spans="2:7" ht="13.5" customHeight="1">
      <c r="B43" s="51" t="s">
        <v>63</v>
      </c>
      <c r="C43" s="55" t="e">
        <f>VLOOKUP(Exam_01,AverageScores,b4_perception,FALSE)</f>
        <v>#DIV/0!</v>
      </c>
      <c r="D43" s="55" t="e">
        <f>VLOOKUP(Exam_01,AverageScores,b4_perception,FALSE)</f>
        <v>#DIV/0!</v>
      </c>
      <c r="E43" s="55" t="e">
        <f>VLOOKUP(Exam_01,AverageScores,b4_perception,FALSE)</f>
        <v>#DIV/0!</v>
      </c>
      <c r="F43" s="55" t="e">
        <f>VLOOKUP(Exam_01,AverageScores,b4_perception,FALSE)</f>
        <v>#DIV/0!</v>
      </c>
      <c r="G43" s="55" t="e">
        <f>VLOOKUP(Exam_01,AverageScores,b4_perception,FALSE)</f>
        <v>#DIV/0!</v>
      </c>
    </row>
    <row r="44" spans="2:7" ht="13.5" customHeight="1">
      <c r="B44" s="51" t="s">
        <v>69</v>
      </c>
      <c r="C44" s="55" t="e">
        <f>VLOOKUP(Exam_01,AverageScores,b4_descriptive,FALSE)</f>
        <v>#DIV/0!</v>
      </c>
      <c r="D44" s="55" t="e">
        <f>VLOOKUP(Exam_01,AverageScores,b4_descriptive,FALSE)</f>
        <v>#DIV/0!</v>
      </c>
      <c r="E44" s="55" t="e">
        <f>VLOOKUP(Exam_01,AverageScores,b4_descriptive,FALSE)</f>
        <v>#DIV/0!</v>
      </c>
      <c r="F44" s="55" t="e">
        <f>VLOOKUP(Exam_01,AverageScores,b4_descriptive,FALSE)</f>
        <v>#DIV/0!</v>
      </c>
      <c r="G44" s="55" t="e">
        <f>VLOOKUP(Exam_01,AverageScores,b4_descriptive,FALSE)</f>
        <v>#DIV/0!</v>
      </c>
    </row>
    <row r="45" spans="2:7" ht="13.5" customHeight="1">
      <c r="B45" s="51" t="s">
        <v>64</v>
      </c>
      <c r="C45" s="55" t="e">
        <f>VLOOKUP(Exam_01,AverageScores,b4_feedback,FALSE)</f>
        <v>#DIV/0!</v>
      </c>
      <c r="D45" s="55" t="e">
        <f>VLOOKUP(Exam_01,AverageScores,b4_feedback,FALSE)</f>
        <v>#DIV/0!</v>
      </c>
      <c r="E45" s="55" t="e">
        <f>VLOOKUP(Exam_01,AverageScores,b4_feedback,FALSE)</f>
        <v>#DIV/0!</v>
      </c>
      <c r="F45" s="55" t="e">
        <f>VLOOKUP(Exam_01,AverageScores,b4_feedback,FALSE)</f>
        <v>#DIV/0!</v>
      </c>
      <c r="G45" s="55" t="e">
        <f>VLOOKUP(Exam_01,AverageScores,b4_feedback,FALSE)</f>
        <v>#DIV/0!</v>
      </c>
    </row>
    <row r="46" spans="2:7" ht="13.5" customHeight="1">
      <c r="B46" s="51" t="s">
        <v>65</v>
      </c>
      <c r="C46" s="55" t="e">
        <f>VLOOKUP(Exam_01,AverageScores,b4_completeness,FALSE)</f>
        <v>#DIV/0!</v>
      </c>
      <c r="D46" s="55" t="e">
        <f>VLOOKUP(Exam_01,AverageScores,b4_completeness,FALSE)</f>
        <v>#DIV/0!</v>
      </c>
      <c r="E46" s="55" t="e">
        <f>VLOOKUP(Exam_01,AverageScores,b4_completeness,FALSE)</f>
        <v>#DIV/0!</v>
      </c>
      <c r="F46" s="55" t="e">
        <f>VLOOKUP(Exam_01,AverageScores,b4_completeness,FALSE)</f>
        <v>#DIV/0!</v>
      </c>
      <c r="G46" s="55" t="e">
        <f>VLOOKUP(Exam_01,AverageScores,b4_completeness,FALSE)</f>
        <v>#DIV/0!</v>
      </c>
    </row>
    <row r="47" spans="2:7" ht="13.5" customHeight="1">
      <c r="B47" s="51" t="s">
        <v>66</v>
      </c>
      <c r="C47" s="55">
        <f>VLOOKUP(Exam_01,ScoringAccuracyTable,b4_accuracy,FALSE)</f>
      </c>
      <c r="D47" s="55">
        <f>VLOOKUP(Exam_01,ScoringAccuracyTable,b4_accuracy,FALSE)</f>
      </c>
      <c r="E47" s="55">
        <f>VLOOKUP(Exam_01,ScoringAccuracyTable,b4_accuracy,FALSE)</f>
      </c>
      <c r="F47" s="55">
        <f>VLOOKUP(Exam_01,ScoringAccuracyTable,b4_accuracy,FALSE)</f>
      </c>
      <c r="G47" s="55">
        <f>VLOOKUP(Exam_01,ScoringAccuracyTable,b4_accuracy,FALSE)</f>
      </c>
    </row>
    <row r="48" spans="2:7" ht="13.5" customHeight="1">
      <c r="B48" s="241"/>
      <c r="C48" s="241"/>
      <c r="D48" s="241"/>
      <c r="E48" s="241"/>
      <c r="F48" s="241"/>
      <c r="G48" s="241"/>
    </row>
    <row r="53" spans="2:7" ht="13.5" customHeight="1">
      <c r="B53" s="52" t="s">
        <v>74</v>
      </c>
      <c r="C53" s="242" t="str">
        <f>BeerName5</f>
        <v>Style5</v>
      </c>
      <c r="D53" s="242"/>
      <c r="E53" s="242"/>
      <c r="F53" s="242"/>
      <c r="G53" s="242"/>
    </row>
    <row r="54" spans="2:7" ht="13.5" customHeight="1">
      <c r="B54" s="241"/>
      <c r="C54" s="241"/>
      <c r="D54" s="241"/>
      <c r="E54" s="241"/>
      <c r="F54" s="241"/>
      <c r="G54" s="241"/>
    </row>
    <row r="55" spans="2:7" ht="13.5" customHeight="1">
      <c r="B55" s="50" t="s">
        <v>68</v>
      </c>
      <c r="C55" s="54" t="s">
        <v>58</v>
      </c>
      <c r="D55" s="54" t="s">
        <v>59</v>
      </c>
      <c r="E55" s="54" t="s">
        <v>60</v>
      </c>
      <c r="F55" s="54" t="s">
        <v>61</v>
      </c>
      <c r="G55" s="54" t="s">
        <v>62</v>
      </c>
    </row>
    <row r="56" spans="2:7" ht="13.5" customHeight="1">
      <c r="B56" s="51" t="s">
        <v>63</v>
      </c>
      <c r="C56" s="55" t="e">
        <f>VLOOKUP(Exam_01,AverageScores,b5_perception,FALSE)</f>
        <v>#DIV/0!</v>
      </c>
      <c r="D56" s="55" t="e">
        <f>VLOOKUP(Exam_01,AverageScores,b5_perception,FALSE)</f>
        <v>#DIV/0!</v>
      </c>
      <c r="E56" s="55" t="e">
        <f>VLOOKUP(Exam_01,AverageScores,b5_perception,FALSE)</f>
        <v>#DIV/0!</v>
      </c>
      <c r="F56" s="55" t="e">
        <f>VLOOKUP(Exam_01,AverageScores,b5_perception,FALSE)</f>
        <v>#DIV/0!</v>
      </c>
      <c r="G56" s="55" t="e">
        <f>VLOOKUP(Exam_01,AverageScores,b5_perception,FALSE)</f>
        <v>#DIV/0!</v>
      </c>
    </row>
    <row r="57" spans="2:7" ht="13.5" customHeight="1">
      <c r="B57" s="51" t="s">
        <v>69</v>
      </c>
      <c r="C57" s="55" t="e">
        <f>VLOOKUP(Exam_01,AverageScores,b5_descriptive,FALSE)</f>
        <v>#DIV/0!</v>
      </c>
      <c r="D57" s="55" t="e">
        <f>VLOOKUP(Exam_01,AverageScores,b5_descriptive,FALSE)</f>
        <v>#DIV/0!</v>
      </c>
      <c r="E57" s="55" t="e">
        <f>VLOOKUP(Exam_01,AverageScores,b5_descriptive,FALSE)</f>
        <v>#DIV/0!</v>
      </c>
      <c r="F57" s="55" t="e">
        <f>VLOOKUP(Exam_01,AverageScores,b5_descriptive,FALSE)</f>
        <v>#DIV/0!</v>
      </c>
      <c r="G57" s="55" t="e">
        <f>VLOOKUP(Exam_01,AverageScores,b5_descriptive,FALSE)</f>
        <v>#DIV/0!</v>
      </c>
    </row>
    <row r="58" spans="2:7" ht="13.5" customHeight="1">
      <c r="B58" s="51" t="s">
        <v>64</v>
      </c>
      <c r="C58" s="55" t="e">
        <f>VLOOKUP(Exam_01,AverageScores,b5_feedback,FALSE)</f>
        <v>#DIV/0!</v>
      </c>
      <c r="D58" s="55" t="e">
        <f>VLOOKUP(Exam_01,AverageScores,b5_feedback,FALSE)</f>
        <v>#DIV/0!</v>
      </c>
      <c r="E58" s="55" t="e">
        <f>VLOOKUP(Exam_01,AverageScores,b5_feedback,FALSE)</f>
        <v>#DIV/0!</v>
      </c>
      <c r="F58" s="55" t="e">
        <f>VLOOKUP(Exam_01,AverageScores,b5_feedback,FALSE)</f>
        <v>#DIV/0!</v>
      </c>
      <c r="G58" s="55" t="e">
        <f>VLOOKUP(Exam_01,AverageScores,b5_feedback,FALSE)</f>
        <v>#DIV/0!</v>
      </c>
    </row>
    <row r="59" spans="2:7" ht="13.5" customHeight="1">
      <c r="B59" s="51" t="s">
        <v>65</v>
      </c>
      <c r="C59" s="55" t="e">
        <f>VLOOKUP(Exam_01,AverageScores,b5_completeness,FALSE)</f>
        <v>#DIV/0!</v>
      </c>
      <c r="D59" s="55" t="e">
        <f>VLOOKUP(Exam_01,AverageScores,b5_completeness,FALSE)</f>
        <v>#DIV/0!</v>
      </c>
      <c r="E59" s="55" t="e">
        <f>VLOOKUP(Exam_01,AverageScores,b5_completeness,FALSE)</f>
        <v>#DIV/0!</v>
      </c>
      <c r="F59" s="55" t="e">
        <f>VLOOKUP(Exam_01,AverageScores,b5_completeness,FALSE)</f>
        <v>#DIV/0!</v>
      </c>
      <c r="G59" s="55" t="e">
        <f>VLOOKUP(Exam_01,AverageScores,b5_completeness,FALSE)</f>
        <v>#DIV/0!</v>
      </c>
    </row>
    <row r="60" spans="2:7" ht="13.5" customHeight="1">
      <c r="B60" s="51" t="s">
        <v>66</v>
      </c>
      <c r="C60" s="55">
        <f>VLOOKUP(Exam_01,ScoringAccuracyTable,b5_accuracy,FALSE)</f>
      </c>
      <c r="D60" s="55">
        <f>VLOOKUP(Exam_01,ScoringAccuracyTable,b5_accuracy,FALSE)</f>
      </c>
      <c r="E60" s="55">
        <f>VLOOKUP(Exam_01,ScoringAccuracyTable,b5_accuracy,FALSE)</f>
      </c>
      <c r="F60" s="55">
        <f>VLOOKUP(Exam_01,ScoringAccuracyTable,b5_accuracy,FALSE)</f>
      </c>
      <c r="G60" s="55">
        <f>VLOOKUP(Exam_01,ScoringAccuracyTable,b5_accuracy,FALSE)</f>
      </c>
    </row>
    <row r="61" spans="2:7" ht="13.5" customHeight="1">
      <c r="B61" s="241"/>
      <c r="C61" s="241"/>
      <c r="D61" s="241"/>
      <c r="E61" s="241"/>
      <c r="F61" s="241"/>
      <c r="G61" s="241"/>
    </row>
    <row r="62" spans="2:7" ht="13.5" customHeight="1">
      <c r="B62" s="52" t="s">
        <v>73</v>
      </c>
      <c r="C62" s="242" t="str">
        <f>BeerName6</f>
        <v>Style6</v>
      </c>
      <c r="D62" s="242"/>
      <c r="E62" s="242"/>
      <c r="F62" s="242"/>
      <c r="G62" s="242"/>
    </row>
    <row r="63" spans="2:7" ht="13.5" customHeight="1">
      <c r="B63" s="241"/>
      <c r="C63" s="241"/>
      <c r="D63" s="241"/>
      <c r="E63" s="241"/>
      <c r="F63" s="241"/>
      <c r="G63" s="241"/>
    </row>
    <row r="64" spans="2:7" ht="13.5" customHeight="1">
      <c r="B64" s="50" t="s">
        <v>68</v>
      </c>
      <c r="C64" s="54" t="s">
        <v>58</v>
      </c>
      <c r="D64" s="54" t="s">
        <v>59</v>
      </c>
      <c r="E64" s="54" t="s">
        <v>60</v>
      </c>
      <c r="F64" s="54" t="s">
        <v>61</v>
      </c>
      <c r="G64" s="54" t="s">
        <v>62</v>
      </c>
    </row>
    <row r="65" spans="2:7" ht="13.5" customHeight="1">
      <c r="B65" s="51" t="s">
        <v>63</v>
      </c>
      <c r="C65" s="55" t="e">
        <f>VLOOKUP(Exam_01,AverageScores,b6_perception,FALSE)</f>
        <v>#DIV/0!</v>
      </c>
      <c r="D65" s="55" t="e">
        <f>VLOOKUP(Exam_01,AverageScores,b6_perception,FALSE)</f>
        <v>#DIV/0!</v>
      </c>
      <c r="E65" s="55" t="e">
        <f>VLOOKUP(Exam_01,AverageScores,b6_perception,FALSE)</f>
        <v>#DIV/0!</v>
      </c>
      <c r="F65" s="55" t="e">
        <f>VLOOKUP(Exam_01,AverageScores,b6_perception,FALSE)</f>
        <v>#DIV/0!</v>
      </c>
      <c r="G65" s="55" t="e">
        <f>VLOOKUP(Exam_01,AverageScores,b6_perception,FALSE)</f>
        <v>#DIV/0!</v>
      </c>
    </row>
    <row r="66" spans="2:7" ht="13.5" customHeight="1">
      <c r="B66" s="51" t="s">
        <v>69</v>
      </c>
      <c r="C66" s="55" t="e">
        <f>VLOOKUP(Exam_01,AverageScores,b6_descriptive,FALSE)</f>
        <v>#DIV/0!</v>
      </c>
      <c r="D66" s="55" t="e">
        <f>VLOOKUP(Exam_01,AverageScores,b6_descriptive,FALSE)</f>
        <v>#DIV/0!</v>
      </c>
      <c r="E66" s="55" t="e">
        <f>VLOOKUP(Exam_01,AverageScores,b6_descriptive,FALSE)</f>
        <v>#DIV/0!</v>
      </c>
      <c r="F66" s="55" t="e">
        <f>VLOOKUP(Exam_01,AverageScores,b6_descriptive,FALSE)</f>
        <v>#DIV/0!</v>
      </c>
      <c r="G66" s="55" t="e">
        <f>VLOOKUP(Exam_01,AverageScores,b6_descriptive,FALSE)</f>
        <v>#DIV/0!</v>
      </c>
    </row>
    <row r="67" spans="2:7" ht="13.5" customHeight="1">
      <c r="B67" s="51" t="s">
        <v>64</v>
      </c>
      <c r="C67" s="55" t="e">
        <f>VLOOKUP(Exam_01,AverageScores,b6_feedback,FALSE)</f>
        <v>#DIV/0!</v>
      </c>
      <c r="D67" s="55" t="e">
        <f>VLOOKUP(Exam_01,AverageScores,b6_feedback,FALSE)</f>
        <v>#DIV/0!</v>
      </c>
      <c r="E67" s="55" t="e">
        <f>VLOOKUP(Exam_01,AverageScores,b6_feedback,FALSE)</f>
        <v>#DIV/0!</v>
      </c>
      <c r="F67" s="55" t="e">
        <f>VLOOKUP(Exam_01,AverageScores,b6_feedback,FALSE)</f>
        <v>#DIV/0!</v>
      </c>
      <c r="G67" s="55" t="e">
        <f>VLOOKUP(Exam_01,AverageScores,b6_feedback,FALSE)</f>
        <v>#DIV/0!</v>
      </c>
    </row>
    <row r="68" spans="2:7" ht="13.5" customHeight="1">
      <c r="B68" s="51" t="s">
        <v>65</v>
      </c>
      <c r="C68" s="55" t="e">
        <f>VLOOKUP(Exam_01,AverageScores,b6_completeness,FALSE)</f>
        <v>#DIV/0!</v>
      </c>
      <c r="D68" s="55" t="e">
        <f>VLOOKUP(Exam_01,AverageScores,b6_completeness,FALSE)</f>
        <v>#DIV/0!</v>
      </c>
      <c r="E68" s="55" t="e">
        <f>VLOOKUP(Exam_01,AverageScores,b6_completeness,FALSE)</f>
        <v>#DIV/0!</v>
      </c>
      <c r="F68" s="55" t="e">
        <f>VLOOKUP(Exam_01,AverageScores,b6_completeness,FALSE)</f>
        <v>#DIV/0!</v>
      </c>
      <c r="G68" s="55" t="e">
        <f>VLOOKUP(Exam_01,AverageScores,b6_completeness,FALSE)</f>
        <v>#DIV/0!</v>
      </c>
    </row>
    <row r="69" spans="2:7" ht="13.5" customHeight="1">
      <c r="B69" s="51" t="s">
        <v>66</v>
      </c>
      <c r="C69" s="55">
        <f>VLOOKUP(Exam_01,ScoringAccuracyTable,b6_accuracy,FALSE)</f>
      </c>
      <c r="D69" s="55">
        <f>VLOOKUP(Exam_01,ScoringAccuracyTable,b6_accuracy,FALSE)</f>
      </c>
      <c r="E69" s="55">
        <f>VLOOKUP(Exam_01,ScoringAccuracyTable,b6_accuracy,FALSE)</f>
      </c>
      <c r="F69" s="55">
        <f>VLOOKUP(Exam_01,ScoringAccuracyTable,b6_accuracy,FALSE)</f>
      </c>
      <c r="G69" s="55">
        <f>VLOOKUP(Exam_01,ScoringAccuracyTable,b6_accuracy,FALSE)</f>
      </c>
    </row>
    <row r="72" spans="1:7" ht="13.5" customHeight="1">
      <c r="A72" s="131" t="s">
        <v>18</v>
      </c>
      <c r="B72" s="243" t="s">
        <v>70</v>
      </c>
      <c r="C72" s="243"/>
      <c r="D72" s="243"/>
      <c r="E72" s="243"/>
      <c r="F72" s="243"/>
      <c r="G72" s="243"/>
    </row>
    <row r="73" spans="1:7" ht="13.5" customHeight="1">
      <c r="A73" s="132">
        <f>Exam_02</f>
        <v>2</v>
      </c>
      <c r="B73" s="244"/>
      <c r="C73" s="244"/>
      <c r="D73" s="244"/>
      <c r="E73" s="244"/>
      <c r="F73" s="244"/>
      <c r="G73" s="244"/>
    </row>
    <row r="74" spans="2:7" ht="13.5" customHeight="1">
      <c r="B74" s="50" t="s">
        <v>68</v>
      </c>
      <c r="C74" s="54" t="s">
        <v>58</v>
      </c>
      <c r="D74" s="54" t="s">
        <v>59</v>
      </c>
      <c r="E74" s="54" t="s">
        <v>60</v>
      </c>
      <c r="F74" s="54" t="s">
        <v>61</v>
      </c>
      <c r="G74" s="54" t="s">
        <v>62</v>
      </c>
    </row>
    <row r="75" spans="2:7" ht="13.5" customHeight="1">
      <c r="B75" s="51" t="s">
        <v>63</v>
      </c>
      <c r="C75" s="55" t="e">
        <f>0.2*AVERAGE(VLOOKUP(Exam_02,Sum_Accuracy,9,FALSE),VLOOKUP(Exam_02,Sum_Accuracy,10,FALSE))</f>
        <v>#VALUE!</v>
      </c>
      <c r="D75" s="55" t="e">
        <f>0.2*AVERAGE(VLOOKUP(Exam_02,Sum_Accuracy,9,FALSE),VLOOKUP(Exam_02,Sum_Accuracy,10,FALSE))</f>
        <v>#VALUE!</v>
      </c>
      <c r="E75" s="55" t="e">
        <f>0.2*AVERAGE(VLOOKUP(Exam_02,Sum_Accuracy,9,FALSE),VLOOKUP(Exam_02,Sum_Accuracy,10,FALSE))</f>
        <v>#VALUE!</v>
      </c>
      <c r="F75" s="55" t="e">
        <f>0.2*AVERAGE(VLOOKUP(Exam_02,Sum_Accuracy,9,FALSE),VLOOKUP(Exam_02,Sum_Accuracy,10,FALSE))</f>
        <v>#VALUE!</v>
      </c>
      <c r="G75" s="55" t="e">
        <f>0.2*AVERAGE(VLOOKUP(Exam_02,Sum_Accuracy,9,FALSE),VLOOKUP(Exam_02,Sum_Accuracy,10,FALSE))</f>
        <v>#VALUE!</v>
      </c>
    </row>
    <row r="76" spans="2:7" ht="13.5" customHeight="1">
      <c r="B76" s="51" t="s">
        <v>69</v>
      </c>
      <c r="C76" s="55" t="e">
        <f>0.2*AVERAGE(VLOOKUP(Exam_02,Sum_Accuracy,11,FALSE),VLOOKUP(Exam_02,Sum_Accuracy,12,FALSE))</f>
        <v>#VALUE!</v>
      </c>
      <c r="D76" s="55" t="e">
        <f>0.2*AVERAGE(VLOOKUP(Exam_02,Sum_Accuracy,11,FALSE),VLOOKUP(Exam_02,Sum_Accuracy,12,FALSE))</f>
        <v>#VALUE!</v>
      </c>
      <c r="E76" s="55" t="e">
        <f>0.2*AVERAGE(VLOOKUP(Exam_02,Sum_Accuracy,11,FALSE),VLOOKUP(Exam_02,Sum_Accuracy,12,FALSE))</f>
        <v>#VALUE!</v>
      </c>
      <c r="F76" s="55" t="e">
        <f>0.2*AVERAGE(VLOOKUP(Exam_02,Sum_Accuracy,11,FALSE),VLOOKUP(Exam_02,Sum_Accuracy,12,FALSE))</f>
        <v>#VALUE!</v>
      </c>
      <c r="G76" s="55" t="e">
        <f>0.2*AVERAGE(VLOOKUP(Exam_02,Sum_Accuracy,11,FALSE),VLOOKUP(Exam_02,Sum_Accuracy,12,FALSE))</f>
        <v>#VALUE!</v>
      </c>
    </row>
    <row r="77" spans="2:7" ht="13.5" customHeight="1">
      <c r="B77" s="51" t="s">
        <v>64</v>
      </c>
      <c r="C77" s="55" t="e">
        <f>0.2*AVERAGE(VLOOKUP(Exam_02,Sum_Accuracy,13,FALSE),VLOOKUP(Exam_02,Sum_Accuracy,14,FALSE))</f>
        <v>#VALUE!</v>
      </c>
      <c r="D77" s="55" t="e">
        <f>0.2*AVERAGE(VLOOKUP(Exam_02,Sum_Accuracy,13,FALSE),VLOOKUP(Exam_02,Sum_Accuracy,14,FALSE))</f>
        <v>#VALUE!</v>
      </c>
      <c r="E77" s="55" t="e">
        <f>0.2*AVERAGE(VLOOKUP(Exam_02,Sum_Accuracy,13,FALSE),VLOOKUP(Exam_02,Sum_Accuracy,14,FALSE))</f>
        <v>#VALUE!</v>
      </c>
      <c r="F77" s="55" t="e">
        <f>0.2*AVERAGE(VLOOKUP(Exam_02,Sum_Accuracy,13,FALSE),VLOOKUP(Exam_02,Sum_Accuracy,14,FALSE))</f>
        <v>#VALUE!</v>
      </c>
      <c r="G77" s="55" t="e">
        <f>0.2*AVERAGE(VLOOKUP(Exam_02,Sum_Accuracy,13,FALSE),VLOOKUP(Exam_02,Sum_Accuracy,14,FALSE))</f>
        <v>#VALUE!</v>
      </c>
    </row>
    <row r="78" spans="2:7" ht="13.5" customHeight="1">
      <c r="B78" s="51" t="s">
        <v>65</v>
      </c>
      <c r="C78" s="55" t="e">
        <f>0.2*AVERAGE(VLOOKUP(Exam_02,Sum_Accuracy,15,FALSE),VLOOKUP(Exam_02,Sum_Accuracy,16,FALSE))</f>
        <v>#VALUE!</v>
      </c>
      <c r="D78" s="55" t="e">
        <f>0.2*AVERAGE(VLOOKUP(Exam_02,Sum_Accuracy,15,FALSE),VLOOKUP(Exam_02,Sum_Accuracy,16,FALSE))</f>
        <v>#VALUE!</v>
      </c>
      <c r="E78" s="55" t="e">
        <f>0.2*AVERAGE(VLOOKUP(Exam_02,Sum_Accuracy,15,FALSE),VLOOKUP(Exam_02,Sum_Accuracy,16,FALSE))</f>
        <v>#VALUE!</v>
      </c>
      <c r="F78" s="55" t="e">
        <f>0.2*AVERAGE(VLOOKUP(Exam_02,Sum_Accuracy,15,FALSE),VLOOKUP(Exam_02,Sum_Accuracy,16,FALSE))</f>
        <v>#VALUE!</v>
      </c>
      <c r="G78" s="55" t="e">
        <f>0.2*AVERAGE(VLOOKUP(Exam_02,Sum_Accuracy,15,FALSE),VLOOKUP(Exam_02,Sum_Accuracy,16,FALSE))</f>
        <v>#VALUE!</v>
      </c>
    </row>
    <row r="79" spans="2:7" ht="13.5" customHeight="1">
      <c r="B79" s="51" t="s">
        <v>66</v>
      </c>
      <c r="C79" s="55" t="e">
        <f>VLOOKUP(Exam_02,Sum_Accuracy,8,FALSE)/5</f>
        <v>#VALUE!</v>
      </c>
      <c r="D79" s="55" t="e">
        <f>VLOOKUP(Exam_02,Sum_Accuracy,8,FALSE)/5</f>
        <v>#VALUE!</v>
      </c>
      <c r="E79" s="55" t="e">
        <f>VLOOKUP(Exam_02,Sum_Accuracy,8,FALSE)/5</f>
        <v>#VALUE!</v>
      </c>
      <c r="F79" s="55" t="e">
        <f>VLOOKUP(Exam_02,Sum_Accuracy,8,FALSE)/5</f>
        <v>#VALUE!</v>
      </c>
      <c r="G79" s="55" t="e">
        <f>VLOOKUP(Exam_02,Sum_Accuracy,8,FALSE)/5</f>
        <v>#VALUE!</v>
      </c>
    </row>
    <row r="80" spans="2:6" ht="13.5" customHeight="1">
      <c r="B80" s="146"/>
      <c r="C80" s="147"/>
      <c r="D80" s="147"/>
      <c r="E80" s="147"/>
      <c r="F80" s="147"/>
    </row>
    <row r="81" spans="2:7" ht="13.5" customHeight="1">
      <c r="B81" s="241"/>
      <c r="C81" s="241"/>
      <c r="D81" s="241"/>
      <c r="E81" s="241"/>
      <c r="F81" s="241"/>
      <c r="G81" s="241"/>
    </row>
    <row r="82" spans="2:7" ht="13.5" customHeight="1">
      <c r="B82" s="245" t="s">
        <v>67</v>
      </c>
      <c r="C82" s="245"/>
      <c r="D82" s="245"/>
      <c r="E82" s="245"/>
      <c r="F82" s="245"/>
      <c r="G82" s="245"/>
    </row>
    <row r="83" spans="2:7" ht="13.5" customHeight="1">
      <c r="B83" s="246"/>
      <c r="C83" s="246"/>
      <c r="D83" s="246"/>
      <c r="E83" s="246"/>
      <c r="F83" s="246"/>
      <c r="G83" s="246"/>
    </row>
    <row r="84" spans="2:7" ht="13.5" customHeight="1">
      <c r="B84" s="52" t="s">
        <v>71</v>
      </c>
      <c r="C84" s="242" t="str">
        <f>BeerName1</f>
        <v>Style1</v>
      </c>
      <c r="D84" s="242"/>
      <c r="E84" s="242"/>
      <c r="F84" s="242"/>
      <c r="G84" s="242"/>
    </row>
    <row r="85" spans="2:7" ht="13.5" customHeight="1">
      <c r="B85" s="241"/>
      <c r="C85" s="241"/>
      <c r="D85" s="241"/>
      <c r="E85" s="241"/>
      <c r="F85" s="241"/>
      <c r="G85" s="241"/>
    </row>
    <row r="86" spans="2:7" ht="13.5" customHeight="1">
      <c r="B86" s="50" t="s">
        <v>68</v>
      </c>
      <c r="C86" s="54" t="s">
        <v>58</v>
      </c>
      <c r="D86" s="54" t="s">
        <v>59</v>
      </c>
      <c r="E86" s="54" t="s">
        <v>60</v>
      </c>
      <c r="F86" s="54" t="s">
        <v>61</v>
      </c>
      <c r="G86" s="54" t="s">
        <v>62</v>
      </c>
    </row>
    <row r="87" spans="2:7" ht="13.5" customHeight="1">
      <c r="B87" s="51" t="s">
        <v>63</v>
      </c>
      <c r="C87" s="55" t="e">
        <f>VLOOKUP(Exam_02,AverageScores,b1_perception,FALSE)</f>
        <v>#DIV/0!</v>
      </c>
      <c r="D87" s="55" t="e">
        <f>VLOOKUP(Exam_02,AverageScores,b1_perception,FALSE)</f>
        <v>#DIV/0!</v>
      </c>
      <c r="E87" s="55" t="e">
        <f>VLOOKUP(Exam_02,AverageScores,b1_perception,FALSE)</f>
        <v>#DIV/0!</v>
      </c>
      <c r="F87" s="55" t="e">
        <f>VLOOKUP(Exam_02,AverageScores,b1_perception,FALSE)</f>
        <v>#DIV/0!</v>
      </c>
      <c r="G87" s="55" t="e">
        <f>VLOOKUP(Exam_02,AverageScores,b1_perception,FALSE)</f>
        <v>#DIV/0!</v>
      </c>
    </row>
    <row r="88" spans="2:7" ht="13.5" customHeight="1">
      <c r="B88" s="51" t="s">
        <v>69</v>
      </c>
      <c r="C88" s="55" t="e">
        <f>VLOOKUP(Exam_02,AverageScores,b1_descriptive,FALSE)</f>
        <v>#DIV/0!</v>
      </c>
      <c r="D88" s="55" t="e">
        <f>VLOOKUP(Exam_02,AverageScores,b1_descriptive,FALSE)</f>
        <v>#DIV/0!</v>
      </c>
      <c r="E88" s="55" t="e">
        <f>VLOOKUP(Exam_02,AverageScores,b1_descriptive,FALSE)</f>
        <v>#DIV/0!</v>
      </c>
      <c r="F88" s="55" t="e">
        <f>VLOOKUP(Exam_02,AverageScores,b1_descriptive,FALSE)</f>
        <v>#DIV/0!</v>
      </c>
      <c r="G88" s="55" t="e">
        <f>VLOOKUP(Exam_02,AverageScores,b1_descriptive,FALSE)</f>
        <v>#DIV/0!</v>
      </c>
    </row>
    <row r="89" spans="2:7" ht="13.5" customHeight="1">
      <c r="B89" s="51" t="s">
        <v>64</v>
      </c>
      <c r="C89" s="55" t="e">
        <f>VLOOKUP(Exam_02,AverageScores,b1_feedback,FALSE)</f>
        <v>#DIV/0!</v>
      </c>
      <c r="D89" s="55" t="e">
        <f>VLOOKUP(Exam_02,AverageScores,b1_feedback,FALSE)</f>
        <v>#DIV/0!</v>
      </c>
      <c r="E89" s="55" t="e">
        <f>VLOOKUP(Exam_02,AverageScores,b1_feedback,FALSE)</f>
        <v>#DIV/0!</v>
      </c>
      <c r="F89" s="55" t="e">
        <f>VLOOKUP(Exam_02,AverageScores,b1_feedback,FALSE)</f>
        <v>#DIV/0!</v>
      </c>
      <c r="G89" s="55" t="e">
        <f>VLOOKUP(Exam_02,AverageScores,b1_feedback,FALSE)</f>
        <v>#DIV/0!</v>
      </c>
    </row>
    <row r="90" spans="2:7" ht="13.5" customHeight="1">
      <c r="B90" s="51" t="s">
        <v>65</v>
      </c>
      <c r="C90" s="55" t="e">
        <f>VLOOKUP(Exam_02,AverageScores,b1_completeness,FALSE)</f>
        <v>#DIV/0!</v>
      </c>
      <c r="D90" s="55" t="e">
        <f>VLOOKUP(Exam_02,AverageScores,b1_completeness,FALSE)</f>
        <v>#DIV/0!</v>
      </c>
      <c r="E90" s="55" t="e">
        <f>VLOOKUP(Exam_02,AverageScores,b1_completeness,FALSE)</f>
        <v>#DIV/0!</v>
      </c>
      <c r="F90" s="55" t="e">
        <f>VLOOKUP(Exam_02,AverageScores,b1_completeness,FALSE)</f>
        <v>#DIV/0!</v>
      </c>
      <c r="G90" s="55" t="e">
        <f>VLOOKUP(Exam_02,AverageScores,b1_completeness,FALSE)</f>
        <v>#DIV/0!</v>
      </c>
    </row>
    <row r="91" spans="2:7" ht="13.5" customHeight="1">
      <c r="B91" s="51" t="s">
        <v>66</v>
      </c>
      <c r="C91" s="55">
        <f>VLOOKUP(Exam_02,ScoringAccuracyTable,b1_accuracy,FALSE)</f>
      </c>
      <c r="D91" s="55">
        <f>VLOOKUP(Exam_02,ScoringAccuracyTable,b1_accuracy,FALSE)</f>
      </c>
      <c r="E91" s="55">
        <f>VLOOKUP(Exam_02,ScoringAccuracyTable,b1_accuracy,FALSE)</f>
      </c>
      <c r="F91" s="55">
        <f>VLOOKUP(Exam_02,ScoringAccuracyTable,b1_accuracy,FALSE)</f>
      </c>
      <c r="G91" s="55">
        <f>VLOOKUP(Exam_02,ScoringAccuracyTable,b1_accuracy,FALSE)</f>
      </c>
    </row>
    <row r="92" spans="2:7" ht="13.5" customHeight="1">
      <c r="B92" s="241"/>
      <c r="C92" s="241"/>
      <c r="D92" s="241"/>
      <c r="E92" s="241"/>
      <c r="F92" s="241"/>
      <c r="G92" s="241"/>
    </row>
    <row r="93" spans="2:7" ht="13.5" customHeight="1">
      <c r="B93" s="52" t="s">
        <v>72</v>
      </c>
      <c r="C93" s="242" t="str">
        <f>BeerName2</f>
        <v>Style2</v>
      </c>
      <c r="D93" s="242"/>
      <c r="E93" s="242"/>
      <c r="F93" s="242"/>
      <c r="G93" s="242"/>
    </row>
    <row r="94" spans="2:7" ht="13.5" customHeight="1">
      <c r="B94" s="247"/>
      <c r="C94" s="247"/>
      <c r="D94" s="247"/>
      <c r="E94" s="247"/>
      <c r="F94" s="247"/>
      <c r="G94" s="247"/>
    </row>
    <row r="95" spans="2:7" ht="13.5" customHeight="1">
      <c r="B95" s="50" t="s">
        <v>68</v>
      </c>
      <c r="C95" s="56" t="s">
        <v>58</v>
      </c>
      <c r="D95" s="56" t="s">
        <v>59</v>
      </c>
      <c r="E95" s="56" t="s">
        <v>60</v>
      </c>
      <c r="F95" s="56" t="s">
        <v>61</v>
      </c>
      <c r="G95" s="56" t="s">
        <v>62</v>
      </c>
    </row>
    <row r="96" spans="2:7" ht="13.5" customHeight="1">
      <c r="B96" s="51" t="s">
        <v>63</v>
      </c>
      <c r="C96" s="55" t="e">
        <f>VLOOKUP(Exam_02,AverageScores,b2_perceptive,FALSE)</f>
        <v>#DIV/0!</v>
      </c>
      <c r="D96" s="55" t="e">
        <f>VLOOKUP(Exam_02,AverageScores,b2_perceptive,FALSE)</f>
        <v>#DIV/0!</v>
      </c>
      <c r="E96" s="55" t="e">
        <f>VLOOKUP(Exam_02,AverageScores,b2_perceptive,FALSE)</f>
        <v>#DIV/0!</v>
      </c>
      <c r="F96" s="55" t="e">
        <f>VLOOKUP(Exam_02,AverageScores,b2_perceptive,FALSE)</f>
        <v>#DIV/0!</v>
      </c>
      <c r="G96" s="55" t="e">
        <f>VLOOKUP(Exam_02,AverageScores,b2_perceptive,FALSE)</f>
        <v>#DIV/0!</v>
      </c>
    </row>
    <row r="97" spans="2:7" ht="13.5" customHeight="1">
      <c r="B97" s="51" t="s">
        <v>69</v>
      </c>
      <c r="C97" s="55" t="e">
        <f>VLOOKUP(Exam_02,AverageScores,b2_descriptive,FALSE)</f>
        <v>#DIV/0!</v>
      </c>
      <c r="D97" s="55" t="e">
        <f>VLOOKUP(Exam_02,AverageScores,b2_descriptive,FALSE)</f>
        <v>#DIV/0!</v>
      </c>
      <c r="E97" s="55" t="e">
        <f>VLOOKUP(Exam_02,AverageScores,b2_descriptive,FALSE)</f>
        <v>#DIV/0!</v>
      </c>
      <c r="F97" s="55" t="e">
        <f>VLOOKUP(Exam_02,AverageScores,b2_descriptive,FALSE)</f>
        <v>#DIV/0!</v>
      </c>
      <c r="G97" s="55" t="e">
        <f>VLOOKUP(Exam_02,AverageScores,b2_descriptive,FALSE)</f>
        <v>#DIV/0!</v>
      </c>
    </row>
    <row r="98" spans="2:7" ht="13.5" customHeight="1">
      <c r="B98" s="51" t="s">
        <v>64</v>
      </c>
      <c r="C98" s="55" t="e">
        <f>VLOOKUP(Exam_02,AverageScores,b2_feedback,FALSE)</f>
        <v>#DIV/0!</v>
      </c>
      <c r="D98" s="55" t="e">
        <f>VLOOKUP(Exam_02,AverageScores,b2_feedback,FALSE)</f>
        <v>#DIV/0!</v>
      </c>
      <c r="E98" s="55" t="e">
        <f>VLOOKUP(Exam_02,AverageScores,b2_feedback,FALSE)</f>
        <v>#DIV/0!</v>
      </c>
      <c r="F98" s="55" t="e">
        <f>VLOOKUP(Exam_02,AverageScores,b2_feedback,FALSE)</f>
        <v>#DIV/0!</v>
      </c>
      <c r="G98" s="55" t="e">
        <f>VLOOKUP(Exam_02,AverageScores,b2_feedback,FALSE)</f>
        <v>#DIV/0!</v>
      </c>
    </row>
    <row r="99" spans="2:7" ht="13.5" customHeight="1">
      <c r="B99" s="51" t="s">
        <v>65</v>
      </c>
      <c r="C99" s="55" t="e">
        <f>VLOOKUP(Exam_02,AverageScores,b2_completeness,FALSE)</f>
        <v>#DIV/0!</v>
      </c>
      <c r="D99" s="55" t="e">
        <f>VLOOKUP(Exam_02,AverageScores,b2_completeness,FALSE)</f>
        <v>#DIV/0!</v>
      </c>
      <c r="E99" s="55" t="e">
        <f>VLOOKUP(Exam_02,AverageScores,b2_completeness,FALSE)</f>
        <v>#DIV/0!</v>
      </c>
      <c r="F99" s="55" t="e">
        <f>VLOOKUP(Exam_02,AverageScores,b2_completeness,FALSE)</f>
        <v>#DIV/0!</v>
      </c>
      <c r="G99" s="55" t="e">
        <f>VLOOKUP(Exam_02,AverageScores,b2_completeness,FALSE)</f>
        <v>#DIV/0!</v>
      </c>
    </row>
    <row r="100" spans="2:7" ht="13.5" customHeight="1">
      <c r="B100" s="51" t="s">
        <v>66</v>
      </c>
      <c r="C100" s="55">
        <f>VLOOKUP(Exam_02,ScoringAccuracyTable,b2_accuracy,FALSE)</f>
      </c>
      <c r="D100" s="55">
        <f>VLOOKUP(Exam_02,ScoringAccuracyTable,b2_accuracy,FALSE)</f>
      </c>
      <c r="E100" s="55">
        <f>VLOOKUP(Exam_02,ScoringAccuracyTable,b2_accuracy,FALSE)</f>
      </c>
      <c r="F100" s="55">
        <f>VLOOKUP(Exam_02,ScoringAccuracyTable,b2_accuracy,FALSE)</f>
      </c>
      <c r="G100" s="55">
        <f>VLOOKUP(Exam_02,ScoringAccuracyTable,b2_accuracy,FALSE)</f>
      </c>
    </row>
    <row r="101" spans="2:7" ht="13.5" customHeight="1">
      <c r="B101" s="241"/>
      <c r="C101" s="241"/>
      <c r="D101" s="241"/>
      <c r="E101" s="241"/>
      <c r="F101" s="241"/>
      <c r="G101" s="241"/>
    </row>
    <row r="102" spans="2:7" ht="13.5" customHeight="1">
      <c r="B102" s="52" t="s">
        <v>76</v>
      </c>
      <c r="C102" s="242" t="str">
        <f>BeerName3</f>
        <v>Style3</v>
      </c>
      <c r="D102" s="242"/>
      <c r="E102" s="242"/>
      <c r="F102" s="242"/>
      <c r="G102" s="242"/>
    </row>
    <row r="103" spans="2:7" ht="13.5" customHeight="1">
      <c r="B103" s="247"/>
      <c r="C103" s="247"/>
      <c r="D103" s="247"/>
      <c r="E103" s="247"/>
      <c r="F103" s="247"/>
      <c r="G103" s="247"/>
    </row>
    <row r="104" spans="2:7" ht="13.5" customHeight="1">
      <c r="B104" s="50" t="s">
        <v>68</v>
      </c>
      <c r="C104" s="54" t="s">
        <v>58</v>
      </c>
      <c r="D104" s="54" t="s">
        <v>59</v>
      </c>
      <c r="E104" s="54" t="s">
        <v>60</v>
      </c>
      <c r="F104" s="54" t="s">
        <v>61</v>
      </c>
      <c r="G104" s="54" t="s">
        <v>62</v>
      </c>
    </row>
    <row r="105" spans="2:7" ht="13.5" customHeight="1">
      <c r="B105" s="51" t="s">
        <v>63</v>
      </c>
      <c r="C105" s="55" t="e">
        <f>VLOOKUP(Exam_02,AverageScores,b3_perception,FALSE)</f>
        <v>#DIV/0!</v>
      </c>
      <c r="D105" s="55" t="e">
        <f>VLOOKUP(Exam_02,AverageScores,b3_perception,FALSE)</f>
        <v>#DIV/0!</v>
      </c>
      <c r="E105" s="55" t="e">
        <f>VLOOKUP(Exam_02,AverageScores,b3_perception,FALSE)</f>
        <v>#DIV/0!</v>
      </c>
      <c r="F105" s="55" t="e">
        <f>VLOOKUP(Exam_02,AverageScores,b3_perception,FALSE)</f>
        <v>#DIV/0!</v>
      </c>
      <c r="G105" s="55" t="e">
        <f>VLOOKUP(Exam_02,AverageScores,b3_perception,FALSE)</f>
        <v>#DIV/0!</v>
      </c>
    </row>
    <row r="106" spans="2:7" ht="13.5" customHeight="1">
      <c r="B106" s="51" t="s">
        <v>69</v>
      </c>
      <c r="C106" s="55" t="e">
        <f>VLOOKUP(Exam_02,AverageScores,b3_descriptive,FALSE)</f>
        <v>#DIV/0!</v>
      </c>
      <c r="D106" s="55" t="e">
        <f>VLOOKUP(Exam_02,AverageScores,b3_descriptive,FALSE)</f>
        <v>#DIV/0!</v>
      </c>
      <c r="E106" s="55" t="e">
        <f>VLOOKUP(Exam_02,AverageScores,b3_descriptive,FALSE)</f>
        <v>#DIV/0!</v>
      </c>
      <c r="F106" s="55" t="e">
        <f>VLOOKUP(Exam_02,AverageScores,b3_descriptive,FALSE)</f>
        <v>#DIV/0!</v>
      </c>
      <c r="G106" s="55" t="e">
        <f>VLOOKUP(Exam_02,AverageScores,b3_descriptive,FALSE)</f>
        <v>#DIV/0!</v>
      </c>
    </row>
    <row r="107" spans="2:7" ht="13.5" customHeight="1">
      <c r="B107" s="51" t="s">
        <v>64</v>
      </c>
      <c r="C107" s="55" t="e">
        <f>VLOOKUP(Exam_02,AverageScores,b3_feedback,FALSE)</f>
        <v>#DIV/0!</v>
      </c>
      <c r="D107" s="55" t="e">
        <f>VLOOKUP(Exam_02,AverageScores,b3_feedback,FALSE)</f>
        <v>#DIV/0!</v>
      </c>
      <c r="E107" s="55" t="e">
        <f>VLOOKUP(Exam_02,AverageScores,b3_feedback,FALSE)</f>
        <v>#DIV/0!</v>
      </c>
      <c r="F107" s="55" t="e">
        <f>VLOOKUP(Exam_02,AverageScores,b3_feedback,FALSE)</f>
        <v>#DIV/0!</v>
      </c>
      <c r="G107" s="55" t="e">
        <f>VLOOKUP(Exam_02,AverageScores,b3_feedback,FALSE)</f>
        <v>#DIV/0!</v>
      </c>
    </row>
    <row r="108" spans="2:7" ht="13.5" customHeight="1">
      <c r="B108" s="51" t="s">
        <v>65</v>
      </c>
      <c r="C108" s="55" t="e">
        <f>VLOOKUP(Exam_02,AverageScores,b3_completeness,FALSE)</f>
        <v>#DIV/0!</v>
      </c>
      <c r="D108" s="55" t="e">
        <f>VLOOKUP(Exam_02,AverageScores,b3_completeness,FALSE)</f>
        <v>#DIV/0!</v>
      </c>
      <c r="E108" s="55" t="e">
        <f>VLOOKUP(Exam_02,AverageScores,b3_completeness,FALSE)</f>
        <v>#DIV/0!</v>
      </c>
      <c r="F108" s="55" t="e">
        <f>VLOOKUP(Exam_02,AverageScores,b3_completeness,FALSE)</f>
        <v>#DIV/0!</v>
      </c>
      <c r="G108" s="55" t="e">
        <f>VLOOKUP(Exam_02,AverageScores,b3_completeness,FALSE)</f>
        <v>#DIV/0!</v>
      </c>
    </row>
    <row r="109" spans="2:7" ht="13.5" customHeight="1">
      <c r="B109" s="51" t="s">
        <v>66</v>
      </c>
      <c r="C109" s="55">
        <f>VLOOKUP(Exam_02,ScoringAccuracyTable,b3_accuracy,FALSE)</f>
      </c>
      <c r="D109" s="55">
        <f>VLOOKUP(Exam_02,ScoringAccuracyTable,b3_accuracy,FALSE)</f>
      </c>
      <c r="E109" s="55">
        <f>VLOOKUP(Exam_02,ScoringAccuracyTable,b3_accuracy,FALSE)</f>
      </c>
      <c r="F109" s="55">
        <f>VLOOKUP(Exam_02,ScoringAccuracyTable,b3_accuracy,FALSE)</f>
      </c>
      <c r="G109" s="55">
        <f>VLOOKUP(Exam_02,ScoringAccuracyTable,b3_accuracy,FALSE)</f>
      </c>
    </row>
    <row r="110" spans="2:7" ht="13.5" customHeight="1">
      <c r="B110" s="241"/>
      <c r="C110" s="241"/>
      <c r="D110" s="241"/>
      <c r="E110" s="241"/>
      <c r="F110" s="241"/>
      <c r="G110" s="241"/>
    </row>
    <row r="111" spans="2:7" ht="13.5" customHeight="1">
      <c r="B111" s="52" t="s">
        <v>75</v>
      </c>
      <c r="C111" s="242" t="str">
        <f>BeerName4</f>
        <v>Style4</v>
      </c>
      <c r="D111" s="242"/>
      <c r="E111" s="242"/>
      <c r="F111" s="242"/>
      <c r="G111" s="242"/>
    </row>
    <row r="112" spans="2:7" ht="13.5" customHeight="1">
      <c r="B112" s="241"/>
      <c r="C112" s="241"/>
      <c r="D112" s="241"/>
      <c r="E112" s="241"/>
      <c r="F112" s="241"/>
      <c r="G112" s="241"/>
    </row>
    <row r="113" spans="2:7" ht="13.5" customHeight="1">
      <c r="B113" s="50" t="s">
        <v>68</v>
      </c>
      <c r="C113" s="54" t="s">
        <v>58</v>
      </c>
      <c r="D113" s="54" t="s">
        <v>59</v>
      </c>
      <c r="E113" s="54" t="s">
        <v>60</v>
      </c>
      <c r="F113" s="54" t="s">
        <v>61</v>
      </c>
      <c r="G113" s="54" t="s">
        <v>62</v>
      </c>
    </row>
    <row r="114" spans="2:7" ht="13.5" customHeight="1">
      <c r="B114" s="51" t="s">
        <v>63</v>
      </c>
      <c r="C114" s="55" t="e">
        <f>VLOOKUP(Exam_02,AverageScores,b4_perception,FALSE)</f>
        <v>#DIV/0!</v>
      </c>
      <c r="D114" s="55" t="e">
        <f>VLOOKUP(Exam_02,AverageScores,b4_perception,FALSE)</f>
        <v>#DIV/0!</v>
      </c>
      <c r="E114" s="55" t="e">
        <f>VLOOKUP(Exam_02,AverageScores,b4_perception,FALSE)</f>
        <v>#DIV/0!</v>
      </c>
      <c r="F114" s="55" t="e">
        <f>VLOOKUP(Exam_02,AverageScores,b4_perception,FALSE)</f>
        <v>#DIV/0!</v>
      </c>
      <c r="G114" s="55" t="e">
        <f>VLOOKUP(Exam_02,AverageScores,b4_perception,FALSE)</f>
        <v>#DIV/0!</v>
      </c>
    </row>
    <row r="115" spans="2:7" ht="13.5" customHeight="1">
      <c r="B115" s="51" t="s">
        <v>69</v>
      </c>
      <c r="C115" s="55" t="e">
        <f>VLOOKUP(Exam_02,AverageScores,b4_descriptive,FALSE)</f>
        <v>#DIV/0!</v>
      </c>
      <c r="D115" s="55" t="e">
        <f>VLOOKUP(Exam_02,AverageScores,b4_descriptive,FALSE)</f>
        <v>#DIV/0!</v>
      </c>
      <c r="E115" s="55" t="e">
        <f>VLOOKUP(Exam_02,AverageScores,b4_descriptive,FALSE)</f>
        <v>#DIV/0!</v>
      </c>
      <c r="F115" s="55" t="e">
        <f>VLOOKUP(Exam_02,AverageScores,b4_descriptive,FALSE)</f>
        <v>#DIV/0!</v>
      </c>
      <c r="G115" s="55" t="e">
        <f>VLOOKUP(Exam_02,AverageScores,b4_descriptive,FALSE)</f>
        <v>#DIV/0!</v>
      </c>
    </row>
    <row r="116" spans="2:7" ht="13.5" customHeight="1">
      <c r="B116" s="51" t="s">
        <v>64</v>
      </c>
      <c r="C116" s="55" t="e">
        <f>VLOOKUP(Exam_02,AverageScores,b4_feedback,FALSE)</f>
        <v>#DIV/0!</v>
      </c>
      <c r="D116" s="55" t="e">
        <f>VLOOKUP(Exam_02,AverageScores,b4_feedback,FALSE)</f>
        <v>#DIV/0!</v>
      </c>
      <c r="E116" s="55" t="e">
        <f>VLOOKUP(Exam_02,AverageScores,b4_feedback,FALSE)</f>
        <v>#DIV/0!</v>
      </c>
      <c r="F116" s="55" t="e">
        <f>VLOOKUP(Exam_02,AverageScores,b4_feedback,FALSE)</f>
        <v>#DIV/0!</v>
      </c>
      <c r="G116" s="55" t="e">
        <f>VLOOKUP(Exam_02,AverageScores,b4_feedback,FALSE)</f>
        <v>#DIV/0!</v>
      </c>
    </row>
    <row r="117" spans="2:7" ht="13.5" customHeight="1">
      <c r="B117" s="51" t="s">
        <v>65</v>
      </c>
      <c r="C117" s="55" t="e">
        <f>VLOOKUP(Exam_02,AverageScores,b4_completeness,FALSE)</f>
        <v>#DIV/0!</v>
      </c>
      <c r="D117" s="55" t="e">
        <f>VLOOKUP(Exam_02,AverageScores,b4_completeness,FALSE)</f>
        <v>#DIV/0!</v>
      </c>
      <c r="E117" s="55" t="e">
        <f>VLOOKUP(Exam_02,AverageScores,b4_completeness,FALSE)</f>
        <v>#DIV/0!</v>
      </c>
      <c r="F117" s="55" t="e">
        <f>VLOOKUP(Exam_02,AverageScores,b4_completeness,FALSE)</f>
        <v>#DIV/0!</v>
      </c>
      <c r="G117" s="55" t="e">
        <f>VLOOKUP(Exam_02,AverageScores,b4_completeness,FALSE)</f>
        <v>#DIV/0!</v>
      </c>
    </row>
    <row r="118" spans="2:7" ht="13.5" customHeight="1">
      <c r="B118" s="51" t="s">
        <v>66</v>
      </c>
      <c r="C118" s="55">
        <f>VLOOKUP(Exam_02,ScoringAccuracyTable,b4_accuracy,FALSE)</f>
      </c>
      <c r="D118" s="55">
        <f>VLOOKUP(Exam_02,ScoringAccuracyTable,b4_accuracy,FALSE)</f>
      </c>
      <c r="E118" s="55">
        <f>VLOOKUP(Exam_02,ScoringAccuracyTable,b4_accuracy,FALSE)</f>
      </c>
      <c r="F118" s="55">
        <f>VLOOKUP(Exam_02,ScoringAccuracyTable,b4_accuracy,FALSE)</f>
      </c>
      <c r="G118" s="55">
        <f>VLOOKUP(Exam_02,ScoringAccuracyTable,b4_accuracy,FALSE)</f>
      </c>
    </row>
    <row r="119" spans="2:7" ht="13.5" customHeight="1">
      <c r="B119" s="241"/>
      <c r="C119" s="241"/>
      <c r="D119" s="241"/>
      <c r="E119" s="241"/>
      <c r="F119" s="241"/>
      <c r="G119" s="241"/>
    </row>
    <row r="124" spans="2:7" ht="13.5" customHeight="1">
      <c r="B124" s="52" t="s">
        <v>74</v>
      </c>
      <c r="C124" s="242" t="str">
        <f>BeerName5</f>
        <v>Style5</v>
      </c>
      <c r="D124" s="242"/>
      <c r="E124" s="242"/>
      <c r="F124" s="242"/>
      <c r="G124" s="242"/>
    </row>
    <row r="125" spans="2:7" ht="13.5" customHeight="1">
      <c r="B125" s="241"/>
      <c r="C125" s="241"/>
      <c r="D125" s="241"/>
      <c r="E125" s="241"/>
      <c r="F125" s="241"/>
      <c r="G125" s="241"/>
    </row>
    <row r="126" spans="2:7" ht="13.5" customHeight="1">
      <c r="B126" s="50" t="s">
        <v>68</v>
      </c>
      <c r="C126" s="54" t="s">
        <v>58</v>
      </c>
      <c r="D126" s="54" t="s">
        <v>59</v>
      </c>
      <c r="E126" s="54" t="s">
        <v>60</v>
      </c>
      <c r="F126" s="54" t="s">
        <v>61</v>
      </c>
      <c r="G126" s="54" t="s">
        <v>62</v>
      </c>
    </row>
    <row r="127" spans="2:7" ht="13.5" customHeight="1">
      <c r="B127" s="51" t="s">
        <v>63</v>
      </c>
      <c r="C127" s="55" t="e">
        <f>VLOOKUP(Exam_02,AverageScores,b5_perception,FALSE)</f>
        <v>#DIV/0!</v>
      </c>
      <c r="D127" s="55" t="e">
        <f>VLOOKUP(Exam_02,AverageScores,b5_perception,FALSE)</f>
        <v>#DIV/0!</v>
      </c>
      <c r="E127" s="55" t="e">
        <f>VLOOKUP(Exam_02,AverageScores,b5_perception,FALSE)</f>
        <v>#DIV/0!</v>
      </c>
      <c r="F127" s="55" t="e">
        <f>VLOOKUP(Exam_02,AverageScores,b5_perception,FALSE)</f>
        <v>#DIV/0!</v>
      </c>
      <c r="G127" s="55" t="e">
        <f>VLOOKUP(Exam_02,AverageScores,b5_perception,FALSE)</f>
        <v>#DIV/0!</v>
      </c>
    </row>
    <row r="128" spans="2:7" ht="13.5" customHeight="1">
      <c r="B128" s="51" t="s">
        <v>69</v>
      </c>
      <c r="C128" s="55" t="e">
        <f>VLOOKUP(Exam_02,AverageScores,b5_descriptive,FALSE)</f>
        <v>#DIV/0!</v>
      </c>
      <c r="D128" s="55" t="e">
        <f>VLOOKUP(Exam_02,AverageScores,b5_descriptive,FALSE)</f>
        <v>#DIV/0!</v>
      </c>
      <c r="E128" s="55" t="e">
        <f>VLOOKUP(Exam_02,AverageScores,b5_descriptive,FALSE)</f>
        <v>#DIV/0!</v>
      </c>
      <c r="F128" s="55" t="e">
        <f>VLOOKUP(Exam_02,AverageScores,b5_descriptive,FALSE)</f>
        <v>#DIV/0!</v>
      </c>
      <c r="G128" s="55" t="e">
        <f>VLOOKUP(Exam_02,AverageScores,b5_descriptive,FALSE)</f>
        <v>#DIV/0!</v>
      </c>
    </row>
    <row r="129" spans="2:7" ht="13.5" customHeight="1">
      <c r="B129" s="51" t="s">
        <v>64</v>
      </c>
      <c r="C129" s="55" t="e">
        <f>VLOOKUP(Exam_02,AverageScores,b5_feedback,FALSE)</f>
        <v>#DIV/0!</v>
      </c>
      <c r="D129" s="55" t="e">
        <f>VLOOKUP(Exam_02,AverageScores,b5_feedback,FALSE)</f>
        <v>#DIV/0!</v>
      </c>
      <c r="E129" s="55" t="e">
        <f>VLOOKUP(Exam_02,AverageScores,b5_feedback,FALSE)</f>
        <v>#DIV/0!</v>
      </c>
      <c r="F129" s="55" t="e">
        <f>VLOOKUP(Exam_02,AverageScores,b5_feedback,FALSE)</f>
        <v>#DIV/0!</v>
      </c>
      <c r="G129" s="55" t="e">
        <f>VLOOKUP(Exam_02,AverageScores,b5_feedback,FALSE)</f>
        <v>#DIV/0!</v>
      </c>
    </row>
    <row r="130" spans="2:7" ht="13.5" customHeight="1">
      <c r="B130" s="51" t="s">
        <v>65</v>
      </c>
      <c r="C130" s="55" t="e">
        <f>VLOOKUP(Exam_02,AverageScores,b5_completeness,FALSE)</f>
        <v>#DIV/0!</v>
      </c>
      <c r="D130" s="55" t="e">
        <f>VLOOKUP(Exam_02,AverageScores,b5_completeness,FALSE)</f>
        <v>#DIV/0!</v>
      </c>
      <c r="E130" s="55" t="e">
        <f>VLOOKUP(Exam_02,AverageScores,b5_completeness,FALSE)</f>
        <v>#DIV/0!</v>
      </c>
      <c r="F130" s="55" t="e">
        <f>VLOOKUP(Exam_02,AverageScores,b5_completeness,FALSE)</f>
        <v>#DIV/0!</v>
      </c>
      <c r="G130" s="55" t="e">
        <f>VLOOKUP(Exam_02,AverageScores,b5_completeness,FALSE)</f>
        <v>#DIV/0!</v>
      </c>
    </row>
    <row r="131" spans="2:7" ht="13.5" customHeight="1">
      <c r="B131" s="51" t="s">
        <v>66</v>
      </c>
      <c r="C131" s="55">
        <f>VLOOKUP(Exam_02,ScoringAccuracyTable,b5_accuracy,FALSE)</f>
      </c>
      <c r="D131" s="55">
        <f>VLOOKUP(Exam_02,ScoringAccuracyTable,b5_accuracy,FALSE)</f>
      </c>
      <c r="E131" s="55">
        <f>VLOOKUP(Exam_02,ScoringAccuracyTable,b5_accuracy,FALSE)</f>
      </c>
      <c r="F131" s="55">
        <f>VLOOKUP(Exam_02,ScoringAccuracyTable,b5_accuracy,FALSE)</f>
      </c>
      <c r="G131" s="55">
        <f>VLOOKUP(Exam_02,ScoringAccuracyTable,b5_accuracy,FALSE)</f>
      </c>
    </row>
    <row r="132" spans="2:7" ht="13.5" customHeight="1">
      <c r="B132" s="241"/>
      <c r="C132" s="241"/>
      <c r="D132" s="241"/>
      <c r="E132" s="241"/>
      <c r="F132" s="241"/>
      <c r="G132" s="241"/>
    </row>
    <row r="133" spans="2:7" ht="13.5" customHeight="1">
      <c r="B133" s="52" t="s">
        <v>73</v>
      </c>
      <c r="C133" s="242" t="str">
        <f>BeerName6</f>
        <v>Style6</v>
      </c>
      <c r="D133" s="242"/>
      <c r="E133" s="242"/>
      <c r="F133" s="242"/>
      <c r="G133" s="242"/>
    </row>
    <row r="134" spans="2:7" ht="13.5" customHeight="1">
      <c r="B134" s="241"/>
      <c r="C134" s="241"/>
      <c r="D134" s="241"/>
      <c r="E134" s="241"/>
      <c r="F134" s="241"/>
      <c r="G134" s="241"/>
    </row>
    <row r="135" spans="2:7" ht="13.5" customHeight="1">
      <c r="B135" s="50" t="s">
        <v>68</v>
      </c>
      <c r="C135" s="54" t="s">
        <v>58</v>
      </c>
      <c r="D135" s="54" t="s">
        <v>59</v>
      </c>
      <c r="E135" s="54" t="s">
        <v>60</v>
      </c>
      <c r="F135" s="54" t="s">
        <v>61</v>
      </c>
      <c r="G135" s="54" t="s">
        <v>62</v>
      </c>
    </row>
    <row r="136" spans="2:7" ht="13.5" customHeight="1">
      <c r="B136" s="51" t="s">
        <v>63</v>
      </c>
      <c r="C136" s="55" t="e">
        <f>VLOOKUP(Exam_02,AverageScores,b6_perception,FALSE)</f>
        <v>#DIV/0!</v>
      </c>
      <c r="D136" s="55" t="e">
        <f>VLOOKUP(Exam_02,AverageScores,b6_perception,FALSE)</f>
        <v>#DIV/0!</v>
      </c>
      <c r="E136" s="55" t="e">
        <f>VLOOKUP(Exam_02,AverageScores,b6_perception,FALSE)</f>
        <v>#DIV/0!</v>
      </c>
      <c r="F136" s="55" t="e">
        <f>VLOOKUP(Exam_02,AverageScores,b6_perception,FALSE)</f>
        <v>#DIV/0!</v>
      </c>
      <c r="G136" s="55" t="e">
        <f>VLOOKUP(Exam_02,AverageScores,b6_perception,FALSE)</f>
        <v>#DIV/0!</v>
      </c>
    </row>
    <row r="137" spans="2:7" ht="13.5" customHeight="1">
      <c r="B137" s="51" t="s">
        <v>69</v>
      </c>
      <c r="C137" s="55" t="e">
        <f>VLOOKUP(Exam_02,AverageScores,b6_descriptive,FALSE)</f>
        <v>#DIV/0!</v>
      </c>
      <c r="D137" s="55" t="e">
        <f>VLOOKUP(Exam_02,AverageScores,b6_descriptive,FALSE)</f>
        <v>#DIV/0!</v>
      </c>
      <c r="E137" s="55" t="e">
        <f>VLOOKUP(Exam_02,AverageScores,b6_descriptive,FALSE)</f>
        <v>#DIV/0!</v>
      </c>
      <c r="F137" s="55" t="e">
        <f>VLOOKUP(Exam_02,AverageScores,b6_descriptive,FALSE)</f>
        <v>#DIV/0!</v>
      </c>
      <c r="G137" s="55" t="e">
        <f>VLOOKUP(Exam_02,AverageScores,b6_descriptive,FALSE)</f>
        <v>#DIV/0!</v>
      </c>
    </row>
    <row r="138" spans="2:7" ht="13.5" customHeight="1">
      <c r="B138" s="51" t="s">
        <v>64</v>
      </c>
      <c r="C138" s="55" t="e">
        <f>VLOOKUP(Exam_02,AverageScores,b6_feedback,FALSE)</f>
        <v>#DIV/0!</v>
      </c>
      <c r="D138" s="55" t="e">
        <f>VLOOKUP(Exam_02,AverageScores,b6_feedback,FALSE)</f>
        <v>#DIV/0!</v>
      </c>
      <c r="E138" s="55" t="e">
        <f>VLOOKUP(Exam_02,AverageScores,b6_feedback,FALSE)</f>
        <v>#DIV/0!</v>
      </c>
      <c r="F138" s="55" t="e">
        <f>VLOOKUP(Exam_02,AverageScores,b6_feedback,FALSE)</f>
        <v>#DIV/0!</v>
      </c>
      <c r="G138" s="55" t="e">
        <f>VLOOKUP(Exam_02,AverageScores,b6_feedback,FALSE)</f>
        <v>#DIV/0!</v>
      </c>
    </row>
    <row r="139" spans="2:7" ht="13.5" customHeight="1">
      <c r="B139" s="51" t="s">
        <v>65</v>
      </c>
      <c r="C139" s="55" t="e">
        <f>VLOOKUP(Exam_02,AverageScores,b6_completeness,FALSE)</f>
        <v>#DIV/0!</v>
      </c>
      <c r="D139" s="55" t="e">
        <f>VLOOKUP(Exam_02,AverageScores,b6_completeness,FALSE)</f>
        <v>#DIV/0!</v>
      </c>
      <c r="E139" s="55" t="e">
        <f>VLOOKUP(Exam_02,AverageScores,b6_completeness,FALSE)</f>
        <v>#DIV/0!</v>
      </c>
      <c r="F139" s="55" t="e">
        <f>VLOOKUP(Exam_02,AverageScores,b6_completeness,FALSE)</f>
        <v>#DIV/0!</v>
      </c>
      <c r="G139" s="55" t="e">
        <f>VLOOKUP(Exam_02,AverageScores,b6_completeness,FALSE)</f>
        <v>#DIV/0!</v>
      </c>
    </row>
    <row r="140" spans="2:7" ht="13.5" customHeight="1">
      <c r="B140" s="51" t="s">
        <v>66</v>
      </c>
      <c r="C140" s="55">
        <f>VLOOKUP(Exam_02,ScoringAccuracyTable,b6_accuracy,FALSE)</f>
      </c>
      <c r="D140" s="55">
        <f>VLOOKUP(Exam_02,ScoringAccuracyTable,b6_accuracy,FALSE)</f>
      </c>
      <c r="E140" s="55">
        <f>VLOOKUP(Exam_02,ScoringAccuracyTable,b6_accuracy,FALSE)</f>
      </c>
      <c r="F140" s="55">
        <f>VLOOKUP(Exam_02,ScoringAccuracyTable,b6_accuracy,FALSE)</f>
      </c>
      <c r="G140" s="55">
        <f>VLOOKUP(Exam_02,ScoringAccuracyTable,b6_accuracy,FALSE)</f>
      </c>
    </row>
    <row r="143" spans="1:7" ht="13.5" customHeight="1">
      <c r="A143" s="131" t="s">
        <v>18</v>
      </c>
      <c r="B143" s="243" t="s">
        <v>70</v>
      </c>
      <c r="C143" s="243"/>
      <c r="D143" s="243"/>
      <c r="E143" s="243"/>
      <c r="F143" s="243"/>
      <c r="G143" s="243"/>
    </row>
    <row r="144" spans="1:7" ht="13.5" customHeight="1">
      <c r="A144" s="132">
        <f>Exam_03</f>
        <v>3</v>
      </c>
      <c r="B144" s="244"/>
      <c r="C144" s="244"/>
      <c r="D144" s="244"/>
      <c r="E144" s="244"/>
      <c r="F144" s="244"/>
      <c r="G144" s="244"/>
    </row>
    <row r="145" spans="2:7" ht="13.5" customHeight="1">
      <c r="B145" s="50" t="s">
        <v>68</v>
      </c>
      <c r="C145" s="54" t="s">
        <v>58</v>
      </c>
      <c r="D145" s="54" t="s">
        <v>59</v>
      </c>
      <c r="E145" s="54" t="s">
        <v>60</v>
      </c>
      <c r="F145" s="54" t="s">
        <v>61</v>
      </c>
      <c r="G145" s="54" t="s">
        <v>62</v>
      </c>
    </row>
    <row r="146" spans="2:7" ht="13.5" customHeight="1">
      <c r="B146" s="51" t="s">
        <v>63</v>
      </c>
      <c r="C146" s="55" t="e">
        <f>0.2*AVERAGE(VLOOKUP(Exam_03,Sum_Accuracy,9,FALSE),VLOOKUP(Exam_03,Sum_Accuracy,10,FALSE))</f>
        <v>#VALUE!</v>
      </c>
      <c r="D146" s="55" t="e">
        <f>0.2*AVERAGE(VLOOKUP(Exam_03,Sum_Accuracy,9,FALSE),VLOOKUP(Exam_03,Sum_Accuracy,10,FALSE))</f>
        <v>#VALUE!</v>
      </c>
      <c r="E146" s="55" t="e">
        <f>0.2*AVERAGE(VLOOKUP(Exam_03,Sum_Accuracy,9,FALSE),VLOOKUP(Exam_03,Sum_Accuracy,10,FALSE))</f>
        <v>#VALUE!</v>
      </c>
      <c r="F146" s="55" t="e">
        <f>0.2*AVERAGE(VLOOKUP(Exam_03,Sum_Accuracy,9,FALSE),VLOOKUP(Exam_03,Sum_Accuracy,10,FALSE))</f>
        <v>#VALUE!</v>
      </c>
      <c r="G146" s="55" t="e">
        <f>0.2*AVERAGE(VLOOKUP(Exam_03,Sum_Accuracy,9,FALSE),VLOOKUP(Exam_03,Sum_Accuracy,10,FALSE))</f>
        <v>#VALUE!</v>
      </c>
    </row>
    <row r="147" spans="2:7" ht="13.5" customHeight="1">
      <c r="B147" s="51" t="s">
        <v>69</v>
      </c>
      <c r="C147" s="55" t="e">
        <f>0.2*AVERAGE(VLOOKUP(Exam_03,Sum_Accuracy,11,FALSE),VLOOKUP(Exam_03,Sum_Accuracy,12,FALSE))</f>
        <v>#VALUE!</v>
      </c>
      <c r="D147" s="55" t="e">
        <f>0.2*AVERAGE(VLOOKUP(Exam_03,Sum_Accuracy,11,FALSE),VLOOKUP(Exam_03,Sum_Accuracy,12,FALSE))</f>
        <v>#VALUE!</v>
      </c>
      <c r="E147" s="55" t="e">
        <f>0.2*AVERAGE(VLOOKUP(Exam_03,Sum_Accuracy,11,FALSE),VLOOKUP(Exam_03,Sum_Accuracy,12,FALSE))</f>
        <v>#VALUE!</v>
      </c>
      <c r="F147" s="55" t="e">
        <f>0.2*AVERAGE(VLOOKUP(Exam_03,Sum_Accuracy,11,FALSE),VLOOKUP(Exam_03,Sum_Accuracy,12,FALSE))</f>
        <v>#VALUE!</v>
      </c>
      <c r="G147" s="55" t="e">
        <f>0.2*AVERAGE(VLOOKUP(Exam_03,Sum_Accuracy,11,FALSE),VLOOKUP(Exam_03,Sum_Accuracy,12,FALSE))</f>
        <v>#VALUE!</v>
      </c>
    </row>
    <row r="148" spans="2:7" ht="13.5" customHeight="1">
      <c r="B148" s="51" t="s">
        <v>64</v>
      </c>
      <c r="C148" s="55" t="e">
        <f>0.2*AVERAGE(VLOOKUP(Exam_03,Sum_Accuracy,13,FALSE),VLOOKUP(Exam_03,Sum_Accuracy,14,FALSE))</f>
        <v>#VALUE!</v>
      </c>
      <c r="D148" s="55" t="e">
        <f>0.2*AVERAGE(VLOOKUP(Exam_03,Sum_Accuracy,13,FALSE),VLOOKUP(Exam_03,Sum_Accuracy,14,FALSE))</f>
        <v>#VALUE!</v>
      </c>
      <c r="E148" s="55" t="e">
        <f>0.2*AVERAGE(VLOOKUP(Exam_03,Sum_Accuracy,13,FALSE),VLOOKUP(Exam_03,Sum_Accuracy,14,FALSE))</f>
        <v>#VALUE!</v>
      </c>
      <c r="F148" s="55" t="e">
        <f>0.2*AVERAGE(VLOOKUP(Exam_03,Sum_Accuracy,13,FALSE),VLOOKUP(Exam_03,Sum_Accuracy,14,FALSE))</f>
        <v>#VALUE!</v>
      </c>
      <c r="G148" s="55" t="e">
        <f>0.2*AVERAGE(VLOOKUP(Exam_03,Sum_Accuracy,13,FALSE),VLOOKUP(Exam_03,Sum_Accuracy,14,FALSE))</f>
        <v>#VALUE!</v>
      </c>
    </row>
    <row r="149" spans="2:7" ht="13.5" customHeight="1">
      <c r="B149" s="51" t="s">
        <v>65</v>
      </c>
      <c r="C149" s="55" t="e">
        <f>0.2*AVERAGE(VLOOKUP(Exam_03,Sum_Accuracy,15,FALSE),VLOOKUP(Exam_03,Sum_Accuracy,16,FALSE))</f>
        <v>#VALUE!</v>
      </c>
      <c r="D149" s="55" t="e">
        <f>0.2*AVERAGE(VLOOKUP(Exam_03,Sum_Accuracy,15,FALSE),VLOOKUP(Exam_03,Sum_Accuracy,16,FALSE))</f>
        <v>#VALUE!</v>
      </c>
      <c r="E149" s="55" t="e">
        <f>0.2*AVERAGE(VLOOKUP(Exam_03,Sum_Accuracy,15,FALSE),VLOOKUP(Exam_03,Sum_Accuracy,16,FALSE))</f>
        <v>#VALUE!</v>
      </c>
      <c r="F149" s="55" t="e">
        <f>0.2*AVERAGE(VLOOKUP(Exam_03,Sum_Accuracy,15,FALSE),VLOOKUP(Exam_03,Sum_Accuracy,16,FALSE))</f>
        <v>#VALUE!</v>
      </c>
      <c r="G149" s="55" t="e">
        <f>0.2*AVERAGE(VLOOKUP(Exam_03,Sum_Accuracy,15,FALSE),VLOOKUP(Exam_03,Sum_Accuracy,16,FALSE))</f>
        <v>#VALUE!</v>
      </c>
    </row>
    <row r="150" spans="2:7" ht="13.5" customHeight="1">
      <c r="B150" s="51" t="s">
        <v>66</v>
      </c>
      <c r="C150" s="55" t="e">
        <f>VLOOKUP(Exam_03,Sum_Accuracy,8,FALSE)/5</f>
        <v>#VALUE!</v>
      </c>
      <c r="D150" s="55" t="e">
        <f>VLOOKUP(Exam_03,Sum_Accuracy,8,FALSE)/5</f>
        <v>#VALUE!</v>
      </c>
      <c r="E150" s="55" t="e">
        <f>VLOOKUP(Exam_03,Sum_Accuracy,8,FALSE)/5</f>
        <v>#VALUE!</v>
      </c>
      <c r="F150" s="55" t="e">
        <f>VLOOKUP(Exam_03,Sum_Accuracy,8,FALSE)/5</f>
        <v>#VALUE!</v>
      </c>
      <c r="G150" s="55" t="e">
        <f>VLOOKUP(Exam_03,Sum_Accuracy,8,FALSE)/5</f>
        <v>#VALUE!</v>
      </c>
    </row>
    <row r="151" spans="2:6" ht="13.5" customHeight="1">
      <c r="B151" s="146"/>
      <c r="C151" s="147"/>
      <c r="D151" s="147"/>
      <c r="E151" s="147"/>
      <c r="F151" s="147"/>
    </row>
    <row r="152" spans="2:7" ht="13.5" customHeight="1">
      <c r="B152" s="241"/>
      <c r="C152" s="241"/>
      <c r="D152" s="241"/>
      <c r="E152" s="241"/>
      <c r="F152" s="241"/>
      <c r="G152" s="241"/>
    </row>
    <row r="153" spans="2:7" ht="13.5" customHeight="1">
      <c r="B153" s="245" t="s">
        <v>67</v>
      </c>
      <c r="C153" s="245"/>
      <c r="D153" s="245"/>
      <c r="E153" s="245"/>
      <c r="F153" s="245"/>
      <c r="G153" s="245"/>
    </row>
    <row r="154" spans="2:7" ht="13.5" customHeight="1">
      <c r="B154" s="246"/>
      <c r="C154" s="246"/>
      <c r="D154" s="246"/>
      <c r="E154" s="246"/>
      <c r="F154" s="246"/>
      <c r="G154" s="246"/>
    </row>
    <row r="155" spans="2:7" ht="13.5" customHeight="1">
      <c r="B155" s="52" t="s">
        <v>71</v>
      </c>
      <c r="C155" s="242" t="str">
        <f>BeerName1</f>
        <v>Style1</v>
      </c>
      <c r="D155" s="242"/>
      <c r="E155" s="242"/>
      <c r="F155" s="242"/>
      <c r="G155" s="242"/>
    </row>
    <row r="156" spans="2:7" ht="13.5" customHeight="1">
      <c r="B156" s="241"/>
      <c r="C156" s="241"/>
      <c r="D156" s="241"/>
      <c r="E156" s="241"/>
      <c r="F156" s="241"/>
      <c r="G156" s="241"/>
    </row>
    <row r="157" spans="2:7" ht="13.5" customHeight="1">
      <c r="B157" s="50" t="s">
        <v>68</v>
      </c>
      <c r="C157" s="54" t="s">
        <v>58</v>
      </c>
      <c r="D157" s="54" t="s">
        <v>59</v>
      </c>
      <c r="E157" s="54" t="s">
        <v>60</v>
      </c>
      <c r="F157" s="54" t="s">
        <v>61</v>
      </c>
      <c r="G157" s="54" t="s">
        <v>62</v>
      </c>
    </row>
    <row r="158" spans="2:7" ht="13.5" customHeight="1">
      <c r="B158" s="51" t="s">
        <v>63</v>
      </c>
      <c r="C158" s="55" t="e">
        <f>VLOOKUP(Exam_03,AverageScores,b1_perception,FALSE)</f>
        <v>#DIV/0!</v>
      </c>
      <c r="D158" s="55" t="e">
        <f>VLOOKUP(Exam_03,AverageScores,b1_perception,FALSE)</f>
        <v>#DIV/0!</v>
      </c>
      <c r="E158" s="55" t="e">
        <f>VLOOKUP(Exam_03,AverageScores,b1_perception,FALSE)</f>
        <v>#DIV/0!</v>
      </c>
      <c r="F158" s="55" t="e">
        <f>VLOOKUP(Exam_03,AverageScores,b1_perception,FALSE)</f>
        <v>#DIV/0!</v>
      </c>
      <c r="G158" s="55" t="e">
        <f>VLOOKUP(Exam_03,AverageScores,b1_perception,FALSE)</f>
        <v>#DIV/0!</v>
      </c>
    </row>
    <row r="159" spans="2:7" ht="13.5" customHeight="1">
      <c r="B159" s="51" t="s">
        <v>69</v>
      </c>
      <c r="C159" s="55" t="e">
        <f>VLOOKUP(Exam_03,AverageScores,b1_descriptive,FALSE)</f>
        <v>#DIV/0!</v>
      </c>
      <c r="D159" s="55" t="e">
        <f>VLOOKUP(Exam_03,AverageScores,b1_descriptive,FALSE)</f>
        <v>#DIV/0!</v>
      </c>
      <c r="E159" s="55" t="e">
        <f>VLOOKUP(Exam_03,AverageScores,b1_descriptive,FALSE)</f>
        <v>#DIV/0!</v>
      </c>
      <c r="F159" s="55" t="e">
        <f>VLOOKUP(Exam_03,AverageScores,b1_descriptive,FALSE)</f>
        <v>#DIV/0!</v>
      </c>
      <c r="G159" s="55" t="e">
        <f>VLOOKUP(Exam_03,AverageScores,b1_descriptive,FALSE)</f>
        <v>#DIV/0!</v>
      </c>
    </row>
    <row r="160" spans="2:7" ht="13.5" customHeight="1">
      <c r="B160" s="51" t="s">
        <v>64</v>
      </c>
      <c r="C160" s="55" t="e">
        <f>VLOOKUP(Exam_03,AverageScores,b1_feedback,FALSE)</f>
        <v>#DIV/0!</v>
      </c>
      <c r="D160" s="55" t="e">
        <f>VLOOKUP(Exam_03,AverageScores,b1_feedback,FALSE)</f>
        <v>#DIV/0!</v>
      </c>
      <c r="E160" s="55" t="e">
        <f>VLOOKUP(Exam_03,AverageScores,b1_feedback,FALSE)</f>
        <v>#DIV/0!</v>
      </c>
      <c r="F160" s="55" t="e">
        <f>VLOOKUP(Exam_03,AverageScores,b1_feedback,FALSE)</f>
        <v>#DIV/0!</v>
      </c>
      <c r="G160" s="55" t="e">
        <f>VLOOKUP(Exam_03,AverageScores,b1_feedback,FALSE)</f>
        <v>#DIV/0!</v>
      </c>
    </row>
    <row r="161" spans="2:7" ht="13.5" customHeight="1">
      <c r="B161" s="51" t="s">
        <v>65</v>
      </c>
      <c r="C161" s="55" t="e">
        <f>VLOOKUP(Exam_03,AverageScores,b1_completeness,FALSE)</f>
        <v>#DIV/0!</v>
      </c>
      <c r="D161" s="55" t="e">
        <f>VLOOKUP(Exam_03,AverageScores,b1_completeness,FALSE)</f>
        <v>#DIV/0!</v>
      </c>
      <c r="E161" s="55" t="e">
        <f>VLOOKUP(Exam_03,AverageScores,b1_completeness,FALSE)</f>
        <v>#DIV/0!</v>
      </c>
      <c r="F161" s="55" t="e">
        <f>VLOOKUP(Exam_03,AverageScores,b1_completeness,FALSE)</f>
        <v>#DIV/0!</v>
      </c>
      <c r="G161" s="55" t="e">
        <f>VLOOKUP(Exam_03,AverageScores,b1_completeness,FALSE)</f>
        <v>#DIV/0!</v>
      </c>
    </row>
    <row r="162" spans="2:7" ht="13.5" customHeight="1">
      <c r="B162" s="51" t="s">
        <v>66</v>
      </c>
      <c r="C162" s="55">
        <f>VLOOKUP(Exam_03,ScoringAccuracyTable,b1_accuracy,FALSE)</f>
      </c>
      <c r="D162" s="55">
        <f>VLOOKUP(Exam_03,ScoringAccuracyTable,b1_accuracy,FALSE)</f>
      </c>
      <c r="E162" s="55">
        <f>VLOOKUP(Exam_03,ScoringAccuracyTable,b1_accuracy,FALSE)</f>
      </c>
      <c r="F162" s="55">
        <f>VLOOKUP(Exam_03,ScoringAccuracyTable,b1_accuracy,FALSE)</f>
      </c>
      <c r="G162" s="55">
        <f>VLOOKUP(Exam_03,ScoringAccuracyTable,b1_accuracy,FALSE)</f>
      </c>
    </row>
    <row r="163" spans="2:7" ht="13.5" customHeight="1">
      <c r="B163" s="241"/>
      <c r="C163" s="241"/>
      <c r="D163" s="241"/>
      <c r="E163" s="241"/>
      <c r="F163" s="241"/>
      <c r="G163" s="241"/>
    </row>
    <row r="164" spans="2:7" ht="13.5" customHeight="1">
      <c r="B164" s="52" t="s">
        <v>72</v>
      </c>
      <c r="C164" s="242" t="str">
        <f>BeerName2</f>
        <v>Style2</v>
      </c>
      <c r="D164" s="242"/>
      <c r="E164" s="242"/>
      <c r="F164" s="242"/>
      <c r="G164" s="242"/>
    </row>
    <row r="165" spans="2:7" ht="13.5" customHeight="1">
      <c r="B165" s="247"/>
      <c r="C165" s="247"/>
      <c r="D165" s="247"/>
      <c r="E165" s="247"/>
      <c r="F165" s="247"/>
      <c r="G165" s="247"/>
    </row>
    <row r="166" spans="2:7" ht="13.5" customHeight="1">
      <c r="B166" s="50" t="s">
        <v>68</v>
      </c>
      <c r="C166" s="56" t="s">
        <v>58</v>
      </c>
      <c r="D166" s="56" t="s">
        <v>59</v>
      </c>
      <c r="E166" s="56" t="s">
        <v>60</v>
      </c>
      <c r="F166" s="56" t="s">
        <v>61</v>
      </c>
      <c r="G166" s="56" t="s">
        <v>62</v>
      </c>
    </row>
    <row r="167" spans="2:7" ht="13.5" customHeight="1">
      <c r="B167" s="51" t="s">
        <v>63</v>
      </c>
      <c r="C167" s="55" t="e">
        <f>VLOOKUP(Exam_03,AverageScores,b2_perceptive,FALSE)</f>
        <v>#DIV/0!</v>
      </c>
      <c r="D167" s="55" t="e">
        <f>VLOOKUP(Exam_03,AverageScores,b2_perceptive,FALSE)</f>
        <v>#DIV/0!</v>
      </c>
      <c r="E167" s="55" t="e">
        <f>VLOOKUP(Exam_03,AverageScores,b2_perceptive,FALSE)</f>
        <v>#DIV/0!</v>
      </c>
      <c r="F167" s="55" t="e">
        <f>VLOOKUP(Exam_03,AverageScores,b2_perceptive,FALSE)</f>
        <v>#DIV/0!</v>
      </c>
      <c r="G167" s="55" t="e">
        <f>VLOOKUP(Exam_03,AverageScores,b2_perceptive,FALSE)</f>
        <v>#DIV/0!</v>
      </c>
    </row>
    <row r="168" spans="2:7" ht="13.5" customHeight="1">
      <c r="B168" s="51" t="s">
        <v>69</v>
      </c>
      <c r="C168" s="55" t="e">
        <f>VLOOKUP(Exam_03,AverageScores,b2_descriptive,FALSE)</f>
        <v>#DIV/0!</v>
      </c>
      <c r="D168" s="55" t="e">
        <f>VLOOKUP(Exam_03,AverageScores,b2_descriptive,FALSE)</f>
        <v>#DIV/0!</v>
      </c>
      <c r="E168" s="55" t="e">
        <f>VLOOKUP(Exam_03,AverageScores,b2_descriptive,FALSE)</f>
        <v>#DIV/0!</v>
      </c>
      <c r="F168" s="55" t="e">
        <f>VLOOKUP(Exam_03,AverageScores,b2_descriptive,FALSE)</f>
        <v>#DIV/0!</v>
      </c>
      <c r="G168" s="55" t="e">
        <f>VLOOKUP(Exam_03,AverageScores,b2_descriptive,FALSE)</f>
        <v>#DIV/0!</v>
      </c>
    </row>
    <row r="169" spans="2:7" ht="13.5" customHeight="1">
      <c r="B169" s="51" t="s">
        <v>64</v>
      </c>
      <c r="C169" s="55" t="e">
        <f>VLOOKUP(Exam_03,AverageScores,b2_feedback,FALSE)</f>
        <v>#DIV/0!</v>
      </c>
      <c r="D169" s="55" t="e">
        <f>VLOOKUP(Exam_03,AverageScores,b2_feedback,FALSE)</f>
        <v>#DIV/0!</v>
      </c>
      <c r="E169" s="55" t="e">
        <f>VLOOKUP(Exam_03,AverageScores,b2_feedback,FALSE)</f>
        <v>#DIV/0!</v>
      </c>
      <c r="F169" s="55" t="e">
        <f>VLOOKUP(Exam_03,AverageScores,b2_feedback,FALSE)</f>
        <v>#DIV/0!</v>
      </c>
      <c r="G169" s="55" t="e">
        <f>VLOOKUP(Exam_03,AverageScores,b2_feedback,FALSE)</f>
        <v>#DIV/0!</v>
      </c>
    </row>
    <row r="170" spans="2:7" ht="13.5" customHeight="1">
      <c r="B170" s="51" t="s">
        <v>65</v>
      </c>
      <c r="C170" s="55" t="e">
        <f>VLOOKUP(Exam_03,AverageScores,b2_completeness,FALSE)</f>
        <v>#DIV/0!</v>
      </c>
      <c r="D170" s="55" t="e">
        <f>VLOOKUP(Exam_03,AverageScores,b2_completeness,FALSE)</f>
        <v>#DIV/0!</v>
      </c>
      <c r="E170" s="55" t="e">
        <f>VLOOKUP(Exam_03,AverageScores,b2_completeness,FALSE)</f>
        <v>#DIV/0!</v>
      </c>
      <c r="F170" s="55" t="e">
        <f>VLOOKUP(Exam_03,AverageScores,b2_completeness,FALSE)</f>
        <v>#DIV/0!</v>
      </c>
      <c r="G170" s="55" t="e">
        <f>VLOOKUP(Exam_03,AverageScores,b2_completeness,FALSE)</f>
        <v>#DIV/0!</v>
      </c>
    </row>
    <row r="171" spans="2:7" ht="13.5" customHeight="1">
      <c r="B171" s="51" t="s">
        <v>66</v>
      </c>
      <c r="C171" s="55">
        <f>VLOOKUP(Exam_03,ScoringAccuracyTable,b2_accuracy,FALSE)</f>
      </c>
      <c r="D171" s="55">
        <f>VLOOKUP(Exam_03,ScoringAccuracyTable,b2_accuracy,FALSE)</f>
      </c>
      <c r="E171" s="55">
        <f>VLOOKUP(Exam_03,ScoringAccuracyTable,b2_accuracy,FALSE)</f>
      </c>
      <c r="F171" s="55">
        <f>VLOOKUP(Exam_03,ScoringAccuracyTable,b2_accuracy,FALSE)</f>
      </c>
      <c r="G171" s="55">
        <f>VLOOKUP(Exam_03,ScoringAccuracyTable,b2_accuracy,FALSE)</f>
      </c>
    </row>
    <row r="172" spans="2:7" ht="13.5" customHeight="1">
      <c r="B172" s="241"/>
      <c r="C172" s="241"/>
      <c r="D172" s="241"/>
      <c r="E172" s="241"/>
      <c r="F172" s="241"/>
      <c r="G172" s="241"/>
    </row>
    <row r="173" spans="2:7" ht="13.5" customHeight="1">
      <c r="B173" s="52" t="s">
        <v>76</v>
      </c>
      <c r="C173" s="242" t="str">
        <f>BeerName3</f>
        <v>Style3</v>
      </c>
      <c r="D173" s="242"/>
      <c r="E173" s="242"/>
      <c r="F173" s="242"/>
      <c r="G173" s="242"/>
    </row>
    <row r="174" spans="2:7" ht="13.5" customHeight="1">
      <c r="B174" s="247"/>
      <c r="C174" s="247"/>
      <c r="D174" s="247"/>
      <c r="E174" s="247"/>
      <c r="F174" s="247"/>
      <c r="G174" s="247"/>
    </row>
    <row r="175" spans="2:7" ht="13.5" customHeight="1">
      <c r="B175" s="50" t="s">
        <v>68</v>
      </c>
      <c r="C175" s="54" t="s">
        <v>58</v>
      </c>
      <c r="D175" s="54" t="s">
        <v>59</v>
      </c>
      <c r="E175" s="54" t="s">
        <v>60</v>
      </c>
      <c r="F175" s="54" t="s">
        <v>61</v>
      </c>
      <c r="G175" s="54" t="s">
        <v>62</v>
      </c>
    </row>
    <row r="176" spans="2:7" ht="13.5" customHeight="1">
      <c r="B176" s="51" t="s">
        <v>63</v>
      </c>
      <c r="C176" s="55" t="e">
        <f>VLOOKUP(Exam_03,AverageScores,b3_perception,FALSE)</f>
        <v>#DIV/0!</v>
      </c>
      <c r="D176" s="55" t="e">
        <f>VLOOKUP(Exam_03,AverageScores,b3_perception,FALSE)</f>
        <v>#DIV/0!</v>
      </c>
      <c r="E176" s="55" t="e">
        <f>VLOOKUP(Exam_03,AverageScores,b3_perception,FALSE)</f>
        <v>#DIV/0!</v>
      </c>
      <c r="F176" s="55" t="e">
        <f>VLOOKUP(Exam_03,AverageScores,b3_perception,FALSE)</f>
        <v>#DIV/0!</v>
      </c>
      <c r="G176" s="55" t="e">
        <f>VLOOKUP(Exam_03,AverageScores,b3_perception,FALSE)</f>
        <v>#DIV/0!</v>
      </c>
    </row>
    <row r="177" spans="2:7" ht="13.5" customHeight="1">
      <c r="B177" s="51" t="s">
        <v>69</v>
      </c>
      <c r="C177" s="55" t="e">
        <f>VLOOKUP(Exam_03,AverageScores,b3_descriptive,FALSE)</f>
        <v>#DIV/0!</v>
      </c>
      <c r="D177" s="55" t="e">
        <f>VLOOKUP(Exam_03,AverageScores,b3_descriptive,FALSE)</f>
        <v>#DIV/0!</v>
      </c>
      <c r="E177" s="55" t="e">
        <f>VLOOKUP(Exam_03,AverageScores,b3_descriptive,FALSE)</f>
        <v>#DIV/0!</v>
      </c>
      <c r="F177" s="55" t="e">
        <f>VLOOKUP(Exam_03,AverageScores,b3_descriptive,FALSE)</f>
        <v>#DIV/0!</v>
      </c>
      <c r="G177" s="55" t="e">
        <f>VLOOKUP(Exam_03,AverageScores,b3_descriptive,FALSE)</f>
        <v>#DIV/0!</v>
      </c>
    </row>
    <row r="178" spans="2:7" ht="13.5" customHeight="1">
      <c r="B178" s="51" t="s">
        <v>64</v>
      </c>
      <c r="C178" s="55" t="e">
        <f>VLOOKUP(Exam_03,AverageScores,b3_feedback,FALSE)</f>
        <v>#DIV/0!</v>
      </c>
      <c r="D178" s="55" t="e">
        <f>VLOOKUP(Exam_03,AverageScores,b3_feedback,FALSE)</f>
        <v>#DIV/0!</v>
      </c>
      <c r="E178" s="55" t="e">
        <f>VLOOKUP(Exam_03,AverageScores,b3_feedback,FALSE)</f>
        <v>#DIV/0!</v>
      </c>
      <c r="F178" s="55" t="e">
        <f>VLOOKUP(Exam_03,AverageScores,b3_feedback,FALSE)</f>
        <v>#DIV/0!</v>
      </c>
      <c r="G178" s="55" t="e">
        <f>VLOOKUP(Exam_03,AverageScores,b3_feedback,FALSE)</f>
        <v>#DIV/0!</v>
      </c>
    </row>
    <row r="179" spans="2:7" ht="13.5" customHeight="1">
      <c r="B179" s="51" t="s">
        <v>65</v>
      </c>
      <c r="C179" s="55" t="e">
        <f>VLOOKUP(Exam_03,AverageScores,b3_completeness,FALSE)</f>
        <v>#DIV/0!</v>
      </c>
      <c r="D179" s="55" t="e">
        <f>VLOOKUP(Exam_03,AverageScores,b3_completeness,FALSE)</f>
        <v>#DIV/0!</v>
      </c>
      <c r="E179" s="55" t="e">
        <f>VLOOKUP(Exam_03,AverageScores,b3_completeness,FALSE)</f>
        <v>#DIV/0!</v>
      </c>
      <c r="F179" s="55" t="e">
        <f>VLOOKUP(Exam_03,AverageScores,b3_completeness,FALSE)</f>
        <v>#DIV/0!</v>
      </c>
      <c r="G179" s="55" t="e">
        <f>VLOOKUP(Exam_03,AverageScores,b3_completeness,FALSE)</f>
        <v>#DIV/0!</v>
      </c>
    </row>
    <row r="180" spans="2:7" ht="13.5" customHeight="1">
      <c r="B180" s="51" t="s">
        <v>66</v>
      </c>
      <c r="C180" s="55">
        <f>VLOOKUP(Exam_03,ScoringAccuracyTable,b3_accuracy,FALSE)</f>
      </c>
      <c r="D180" s="55">
        <f>VLOOKUP(Exam_03,ScoringAccuracyTable,b3_accuracy,FALSE)</f>
      </c>
      <c r="E180" s="55">
        <f>VLOOKUP(Exam_03,ScoringAccuracyTable,b3_accuracy,FALSE)</f>
      </c>
      <c r="F180" s="55">
        <f>VLOOKUP(Exam_03,ScoringAccuracyTable,b3_accuracy,FALSE)</f>
      </c>
      <c r="G180" s="55">
        <f>VLOOKUP(Exam_03,ScoringAccuracyTable,b3_accuracy,FALSE)</f>
      </c>
    </row>
    <row r="181" spans="2:7" ht="13.5" customHeight="1">
      <c r="B181" s="241"/>
      <c r="C181" s="241"/>
      <c r="D181" s="241"/>
      <c r="E181" s="241"/>
      <c r="F181" s="241"/>
      <c r="G181" s="241"/>
    </row>
    <row r="182" spans="2:7" ht="13.5" customHeight="1">
      <c r="B182" s="52" t="s">
        <v>75</v>
      </c>
      <c r="C182" s="242" t="str">
        <f>BeerName4</f>
        <v>Style4</v>
      </c>
      <c r="D182" s="242"/>
      <c r="E182" s="242"/>
      <c r="F182" s="242"/>
      <c r="G182" s="242"/>
    </row>
    <row r="183" spans="2:7" ht="13.5" customHeight="1">
      <c r="B183" s="241"/>
      <c r="C183" s="241"/>
      <c r="D183" s="241"/>
      <c r="E183" s="241"/>
      <c r="F183" s="241"/>
      <c r="G183" s="241"/>
    </row>
    <row r="184" spans="2:7" ht="13.5" customHeight="1">
      <c r="B184" s="50" t="s">
        <v>68</v>
      </c>
      <c r="C184" s="54" t="s">
        <v>58</v>
      </c>
      <c r="D184" s="54" t="s">
        <v>59</v>
      </c>
      <c r="E184" s="54" t="s">
        <v>60</v>
      </c>
      <c r="F184" s="54" t="s">
        <v>61</v>
      </c>
      <c r="G184" s="54" t="s">
        <v>62</v>
      </c>
    </row>
    <row r="185" spans="2:7" ht="13.5" customHeight="1">
      <c r="B185" s="51" t="s">
        <v>63</v>
      </c>
      <c r="C185" s="55" t="e">
        <f>VLOOKUP(Exam_03,AverageScores,b4_perception,FALSE)</f>
        <v>#DIV/0!</v>
      </c>
      <c r="D185" s="55" t="e">
        <f>VLOOKUP(Exam_03,AverageScores,b4_perception,FALSE)</f>
        <v>#DIV/0!</v>
      </c>
      <c r="E185" s="55" t="e">
        <f>VLOOKUP(Exam_03,AverageScores,b4_perception,FALSE)</f>
        <v>#DIV/0!</v>
      </c>
      <c r="F185" s="55" t="e">
        <f>VLOOKUP(Exam_03,AverageScores,b4_perception,FALSE)</f>
        <v>#DIV/0!</v>
      </c>
      <c r="G185" s="55" t="e">
        <f>VLOOKUP(Exam_03,AverageScores,b4_perception,FALSE)</f>
        <v>#DIV/0!</v>
      </c>
    </row>
    <row r="186" spans="2:7" ht="13.5" customHeight="1">
      <c r="B186" s="51" t="s">
        <v>69</v>
      </c>
      <c r="C186" s="55" t="e">
        <f>VLOOKUP(Exam_03,AverageScores,b4_descriptive,FALSE)</f>
        <v>#DIV/0!</v>
      </c>
      <c r="D186" s="55" t="e">
        <f>VLOOKUP(Exam_03,AverageScores,b4_descriptive,FALSE)</f>
        <v>#DIV/0!</v>
      </c>
      <c r="E186" s="55" t="e">
        <f>VLOOKUP(Exam_03,AverageScores,b4_descriptive,FALSE)</f>
        <v>#DIV/0!</v>
      </c>
      <c r="F186" s="55" t="e">
        <f>VLOOKUP(Exam_03,AverageScores,b4_descriptive,FALSE)</f>
        <v>#DIV/0!</v>
      </c>
      <c r="G186" s="55" t="e">
        <f>VLOOKUP(Exam_03,AverageScores,b4_descriptive,FALSE)</f>
        <v>#DIV/0!</v>
      </c>
    </row>
    <row r="187" spans="2:7" ht="13.5" customHeight="1">
      <c r="B187" s="51" t="s">
        <v>64</v>
      </c>
      <c r="C187" s="55" t="e">
        <f>VLOOKUP(Exam_03,AverageScores,b4_feedback,FALSE)</f>
        <v>#DIV/0!</v>
      </c>
      <c r="D187" s="55" t="e">
        <f>VLOOKUP(Exam_03,AverageScores,b4_feedback,FALSE)</f>
        <v>#DIV/0!</v>
      </c>
      <c r="E187" s="55" t="e">
        <f>VLOOKUP(Exam_03,AverageScores,b4_feedback,FALSE)</f>
        <v>#DIV/0!</v>
      </c>
      <c r="F187" s="55" t="e">
        <f>VLOOKUP(Exam_03,AverageScores,b4_feedback,FALSE)</f>
        <v>#DIV/0!</v>
      </c>
      <c r="G187" s="55" t="e">
        <f>VLOOKUP(Exam_03,AverageScores,b4_feedback,FALSE)</f>
        <v>#DIV/0!</v>
      </c>
    </row>
    <row r="188" spans="2:7" ht="13.5" customHeight="1">
      <c r="B188" s="51" t="s">
        <v>65</v>
      </c>
      <c r="C188" s="55" t="e">
        <f>VLOOKUP(Exam_03,AverageScores,b4_completeness,FALSE)</f>
        <v>#DIV/0!</v>
      </c>
      <c r="D188" s="55" t="e">
        <f>VLOOKUP(Exam_03,AverageScores,b4_completeness,FALSE)</f>
        <v>#DIV/0!</v>
      </c>
      <c r="E188" s="55" t="e">
        <f>VLOOKUP(Exam_03,AverageScores,b4_completeness,FALSE)</f>
        <v>#DIV/0!</v>
      </c>
      <c r="F188" s="55" t="e">
        <f>VLOOKUP(Exam_03,AverageScores,b4_completeness,FALSE)</f>
        <v>#DIV/0!</v>
      </c>
      <c r="G188" s="55" t="e">
        <f>VLOOKUP(Exam_03,AverageScores,b4_completeness,FALSE)</f>
        <v>#DIV/0!</v>
      </c>
    </row>
    <row r="189" spans="2:7" ht="13.5" customHeight="1">
      <c r="B189" s="51" t="s">
        <v>66</v>
      </c>
      <c r="C189" s="55">
        <f>VLOOKUP(Exam_03,ScoringAccuracyTable,b4_accuracy,FALSE)</f>
      </c>
      <c r="D189" s="55">
        <f>VLOOKUP(Exam_03,ScoringAccuracyTable,b4_accuracy,FALSE)</f>
      </c>
      <c r="E189" s="55">
        <f>VLOOKUP(Exam_03,ScoringAccuracyTable,b4_accuracy,FALSE)</f>
      </c>
      <c r="F189" s="55">
        <f>VLOOKUP(Exam_03,ScoringAccuracyTable,b4_accuracy,FALSE)</f>
      </c>
      <c r="G189" s="55">
        <f>VLOOKUP(Exam_03,ScoringAccuracyTable,b4_accuracy,FALSE)</f>
      </c>
    </row>
    <row r="190" spans="2:7" ht="13.5" customHeight="1">
      <c r="B190" s="241"/>
      <c r="C190" s="241"/>
      <c r="D190" s="241"/>
      <c r="E190" s="241"/>
      <c r="F190" s="241"/>
      <c r="G190" s="241"/>
    </row>
    <row r="195" spans="2:7" ht="13.5" customHeight="1">
      <c r="B195" s="52" t="s">
        <v>74</v>
      </c>
      <c r="C195" s="242" t="str">
        <f>BeerName5</f>
        <v>Style5</v>
      </c>
      <c r="D195" s="242"/>
      <c r="E195" s="242"/>
      <c r="F195" s="242"/>
      <c r="G195" s="242"/>
    </row>
    <row r="196" spans="2:7" ht="13.5" customHeight="1">
      <c r="B196" s="241"/>
      <c r="C196" s="241"/>
      <c r="D196" s="241"/>
      <c r="E196" s="241"/>
      <c r="F196" s="241"/>
      <c r="G196" s="241"/>
    </row>
    <row r="197" spans="2:7" ht="13.5" customHeight="1">
      <c r="B197" s="50" t="s">
        <v>68</v>
      </c>
      <c r="C197" s="54" t="s">
        <v>58</v>
      </c>
      <c r="D197" s="54" t="s">
        <v>59</v>
      </c>
      <c r="E197" s="54" t="s">
        <v>60</v>
      </c>
      <c r="F197" s="54" t="s">
        <v>61</v>
      </c>
      <c r="G197" s="54" t="s">
        <v>62</v>
      </c>
    </row>
    <row r="198" spans="2:7" ht="13.5" customHeight="1">
      <c r="B198" s="51" t="s">
        <v>63</v>
      </c>
      <c r="C198" s="55" t="e">
        <f>VLOOKUP(Exam_03,AverageScores,b5_perception,FALSE)</f>
        <v>#DIV/0!</v>
      </c>
      <c r="D198" s="55" t="e">
        <f>VLOOKUP(Exam_03,AverageScores,b5_perception,FALSE)</f>
        <v>#DIV/0!</v>
      </c>
      <c r="E198" s="55" t="e">
        <f>VLOOKUP(Exam_03,AverageScores,b5_perception,FALSE)</f>
        <v>#DIV/0!</v>
      </c>
      <c r="F198" s="55" t="e">
        <f>VLOOKUP(Exam_03,AverageScores,b5_perception,FALSE)</f>
        <v>#DIV/0!</v>
      </c>
      <c r="G198" s="55" t="e">
        <f>VLOOKUP(Exam_03,AverageScores,b5_perception,FALSE)</f>
        <v>#DIV/0!</v>
      </c>
    </row>
    <row r="199" spans="2:7" ht="13.5" customHeight="1">
      <c r="B199" s="51" t="s">
        <v>69</v>
      </c>
      <c r="C199" s="55" t="e">
        <f>VLOOKUP(Exam_03,AverageScores,b5_descriptive,FALSE)</f>
        <v>#DIV/0!</v>
      </c>
      <c r="D199" s="55" t="e">
        <f>VLOOKUP(Exam_03,AverageScores,b5_descriptive,FALSE)</f>
        <v>#DIV/0!</v>
      </c>
      <c r="E199" s="55" t="e">
        <f>VLOOKUP(Exam_03,AverageScores,b5_descriptive,FALSE)</f>
        <v>#DIV/0!</v>
      </c>
      <c r="F199" s="55" t="e">
        <f>VLOOKUP(Exam_03,AverageScores,b5_descriptive,FALSE)</f>
        <v>#DIV/0!</v>
      </c>
      <c r="G199" s="55" t="e">
        <f>VLOOKUP(Exam_03,AverageScores,b5_descriptive,FALSE)</f>
        <v>#DIV/0!</v>
      </c>
    </row>
    <row r="200" spans="2:7" ht="13.5" customHeight="1">
      <c r="B200" s="51" t="s">
        <v>64</v>
      </c>
      <c r="C200" s="55" t="e">
        <f>VLOOKUP(Exam_03,AverageScores,b5_feedback,FALSE)</f>
        <v>#DIV/0!</v>
      </c>
      <c r="D200" s="55" t="e">
        <f>VLOOKUP(Exam_03,AverageScores,b5_feedback,FALSE)</f>
        <v>#DIV/0!</v>
      </c>
      <c r="E200" s="55" t="e">
        <f>VLOOKUP(Exam_03,AverageScores,b5_feedback,FALSE)</f>
        <v>#DIV/0!</v>
      </c>
      <c r="F200" s="55" t="e">
        <f>VLOOKUP(Exam_03,AverageScores,b5_feedback,FALSE)</f>
        <v>#DIV/0!</v>
      </c>
      <c r="G200" s="55" t="e">
        <f>VLOOKUP(Exam_03,AverageScores,b5_feedback,FALSE)</f>
        <v>#DIV/0!</v>
      </c>
    </row>
    <row r="201" spans="2:7" ht="13.5" customHeight="1">
      <c r="B201" s="51" t="s">
        <v>65</v>
      </c>
      <c r="C201" s="55" t="e">
        <f>VLOOKUP(Exam_03,AverageScores,b5_completeness,FALSE)</f>
        <v>#DIV/0!</v>
      </c>
      <c r="D201" s="55" t="e">
        <f>VLOOKUP(Exam_03,AverageScores,b5_completeness,FALSE)</f>
        <v>#DIV/0!</v>
      </c>
      <c r="E201" s="55" t="e">
        <f>VLOOKUP(Exam_03,AverageScores,b5_completeness,FALSE)</f>
        <v>#DIV/0!</v>
      </c>
      <c r="F201" s="55" t="e">
        <f>VLOOKUP(Exam_03,AverageScores,b5_completeness,FALSE)</f>
        <v>#DIV/0!</v>
      </c>
      <c r="G201" s="55" t="e">
        <f>VLOOKUP(Exam_03,AverageScores,b5_completeness,FALSE)</f>
        <v>#DIV/0!</v>
      </c>
    </row>
    <row r="202" spans="2:7" ht="13.5" customHeight="1">
      <c r="B202" s="51" t="s">
        <v>66</v>
      </c>
      <c r="C202" s="55">
        <f>VLOOKUP(Exam_03,ScoringAccuracyTable,b5_accuracy,FALSE)</f>
      </c>
      <c r="D202" s="55">
        <f>VLOOKUP(Exam_03,ScoringAccuracyTable,b5_accuracy,FALSE)</f>
      </c>
      <c r="E202" s="55">
        <f>VLOOKUP(Exam_03,ScoringAccuracyTable,b5_accuracy,FALSE)</f>
      </c>
      <c r="F202" s="55">
        <f>VLOOKUP(Exam_03,ScoringAccuracyTable,b5_accuracy,FALSE)</f>
      </c>
      <c r="G202" s="55">
        <f>VLOOKUP(Exam_03,ScoringAccuracyTable,b5_accuracy,FALSE)</f>
      </c>
    </row>
    <row r="203" spans="2:7" ht="13.5" customHeight="1">
      <c r="B203" s="241"/>
      <c r="C203" s="241"/>
      <c r="D203" s="241"/>
      <c r="E203" s="241"/>
      <c r="F203" s="241"/>
      <c r="G203" s="241"/>
    </row>
    <row r="204" spans="2:7" ht="13.5" customHeight="1">
      <c r="B204" s="52" t="s">
        <v>73</v>
      </c>
      <c r="C204" s="242" t="str">
        <f>BeerName6</f>
        <v>Style6</v>
      </c>
      <c r="D204" s="242"/>
      <c r="E204" s="242"/>
      <c r="F204" s="242"/>
      <c r="G204" s="242"/>
    </row>
    <row r="205" spans="2:7" ht="13.5" customHeight="1">
      <c r="B205" s="241"/>
      <c r="C205" s="241"/>
      <c r="D205" s="241"/>
      <c r="E205" s="241"/>
      <c r="F205" s="241"/>
      <c r="G205" s="241"/>
    </row>
    <row r="206" spans="2:7" ht="13.5" customHeight="1">
      <c r="B206" s="50" t="s">
        <v>68</v>
      </c>
      <c r="C206" s="54" t="s">
        <v>58</v>
      </c>
      <c r="D206" s="54" t="s">
        <v>59</v>
      </c>
      <c r="E206" s="54" t="s">
        <v>60</v>
      </c>
      <c r="F206" s="54" t="s">
        <v>61</v>
      </c>
      <c r="G206" s="54" t="s">
        <v>62</v>
      </c>
    </row>
    <row r="207" spans="2:7" ht="13.5" customHeight="1">
      <c r="B207" s="51" t="s">
        <v>63</v>
      </c>
      <c r="C207" s="55" t="e">
        <f>VLOOKUP(Exam_03,AverageScores,b6_perception,FALSE)</f>
        <v>#DIV/0!</v>
      </c>
      <c r="D207" s="55" t="e">
        <f>VLOOKUP(Exam_03,AverageScores,b6_perception,FALSE)</f>
        <v>#DIV/0!</v>
      </c>
      <c r="E207" s="55" t="e">
        <f>VLOOKUP(Exam_03,AverageScores,b6_perception,FALSE)</f>
        <v>#DIV/0!</v>
      </c>
      <c r="F207" s="55" t="e">
        <f>VLOOKUP(Exam_03,AverageScores,b6_perception,FALSE)</f>
        <v>#DIV/0!</v>
      </c>
      <c r="G207" s="55" t="e">
        <f>VLOOKUP(Exam_03,AverageScores,b6_perception,FALSE)</f>
        <v>#DIV/0!</v>
      </c>
    </row>
    <row r="208" spans="2:7" ht="13.5" customHeight="1">
      <c r="B208" s="51" t="s">
        <v>69</v>
      </c>
      <c r="C208" s="55" t="e">
        <f>VLOOKUP(Exam_03,AverageScores,b6_descriptive,FALSE)</f>
        <v>#DIV/0!</v>
      </c>
      <c r="D208" s="55" t="e">
        <f>VLOOKUP(Exam_03,AverageScores,b6_descriptive,FALSE)</f>
        <v>#DIV/0!</v>
      </c>
      <c r="E208" s="55" t="e">
        <f>VLOOKUP(Exam_03,AverageScores,b6_descriptive,FALSE)</f>
        <v>#DIV/0!</v>
      </c>
      <c r="F208" s="55" t="e">
        <f>VLOOKUP(Exam_03,AverageScores,b6_descriptive,FALSE)</f>
        <v>#DIV/0!</v>
      </c>
      <c r="G208" s="55" t="e">
        <f>VLOOKUP(Exam_03,AverageScores,b6_descriptive,FALSE)</f>
        <v>#DIV/0!</v>
      </c>
    </row>
    <row r="209" spans="2:7" ht="13.5" customHeight="1">
      <c r="B209" s="51" t="s">
        <v>64</v>
      </c>
      <c r="C209" s="55" t="e">
        <f>VLOOKUP(Exam_03,AverageScores,b6_feedback,FALSE)</f>
        <v>#DIV/0!</v>
      </c>
      <c r="D209" s="55" t="e">
        <f>VLOOKUP(Exam_03,AverageScores,b6_feedback,FALSE)</f>
        <v>#DIV/0!</v>
      </c>
      <c r="E209" s="55" t="e">
        <f>VLOOKUP(Exam_03,AverageScores,b6_feedback,FALSE)</f>
        <v>#DIV/0!</v>
      </c>
      <c r="F209" s="55" t="e">
        <f>VLOOKUP(Exam_03,AverageScores,b6_feedback,FALSE)</f>
        <v>#DIV/0!</v>
      </c>
      <c r="G209" s="55" t="e">
        <f>VLOOKUP(Exam_03,AverageScores,b6_feedback,FALSE)</f>
        <v>#DIV/0!</v>
      </c>
    </row>
    <row r="210" spans="2:7" ht="13.5" customHeight="1">
      <c r="B210" s="51" t="s">
        <v>65</v>
      </c>
      <c r="C210" s="55" t="e">
        <f>VLOOKUP(Exam_03,AverageScores,b6_completeness,FALSE)</f>
        <v>#DIV/0!</v>
      </c>
      <c r="D210" s="55" t="e">
        <f>VLOOKUP(Exam_03,AverageScores,b6_completeness,FALSE)</f>
        <v>#DIV/0!</v>
      </c>
      <c r="E210" s="55" t="e">
        <f>VLOOKUP(Exam_03,AverageScores,b6_completeness,FALSE)</f>
        <v>#DIV/0!</v>
      </c>
      <c r="F210" s="55" t="e">
        <f>VLOOKUP(Exam_03,AverageScores,b6_completeness,FALSE)</f>
        <v>#DIV/0!</v>
      </c>
      <c r="G210" s="55" t="e">
        <f>VLOOKUP(Exam_03,AverageScores,b6_completeness,FALSE)</f>
        <v>#DIV/0!</v>
      </c>
    </row>
    <row r="211" spans="2:7" ht="13.5" customHeight="1">
      <c r="B211" s="51" t="s">
        <v>66</v>
      </c>
      <c r="C211" s="55">
        <f>VLOOKUP(Exam_03,ScoringAccuracyTable,b6_accuracy,FALSE)</f>
      </c>
      <c r="D211" s="55">
        <f>VLOOKUP(Exam_03,ScoringAccuracyTable,b6_accuracy,FALSE)</f>
      </c>
      <c r="E211" s="55">
        <f>VLOOKUP(Exam_03,ScoringAccuracyTable,b6_accuracy,FALSE)</f>
      </c>
      <c r="F211" s="55">
        <f>VLOOKUP(Exam_03,ScoringAccuracyTable,b6_accuracy,FALSE)</f>
      </c>
      <c r="G211" s="55">
        <f>VLOOKUP(Exam_03,ScoringAccuracyTable,b6_accuracy,FALSE)</f>
      </c>
    </row>
    <row r="214" spans="1:7" ht="13.5" customHeight="1">
      <c r="A214" s="131" t="s">
        <v>18</v>
      </c>
      <c r="B214" s="243" t="s">
        <v>70</v>
      </c>
      <c r="C214" s="243"/>
      <c r="D214" s="243"/>
      <c r="E214" s="243"/>
      <c r="F214" s="243"/>
      <c r="G214" s="243"/>
    </row>
    <row r="215" spans="1:7" ht="13.5" customHeight="1">
      <c r="A215" s="132">
        <f>Exam_04</f>
        <v>4</v>
      </c>
      <c r="B215" s="244"/>
      <c r="C215" s="244"/>
      <c r="D215" s="244"/>
      <c r="E215" s="244"/>
      <c r="F215" s="244"/>
      <c r="G215" s="244"/>
    </row>
    <row r="216" spans="2:7" ht="13.5" customHeight="1">
      <c r="B216" s="50" t="s">
        <v>68</v>
      </c>
      <c r="C216" s="54" t="s">
        <v>58</v>
      </c>
      <c r="D216" s="54" t="s">
        <v>59</v>
      </c>
      <c r="E216" s="54" t="s">
        <v>60</v>
      </c>
      <c r="F216" s="54" t="s">
        <v>61</v>
      </c>
      <c r="G216" s="54" t="s">
        <v>62</v>
      </c>
    </row>
    <row r="217" spans="2:7" ht="13.5" customHeight="1">
      <c r="B217" s="51" t="s">
        <v>63</v>
      </c>
      <c r="C217" s="55" t="e">
        <f>0.2*AVERAGE(VLOOKUP(Exam_04,Sum_Accuracy,9,FALSE),VLOOKUP(Exam_04,Sum_Accuracy,10,FALSE))</f>
        <v>#VALUE!</v>
      </c>
      <c r="D217" s="55" t="e">
        <f>0.2*AVERAGE(VLOOKUP(Exam_04,Sum_Accuracy,9,FALSE),VLOOKUP(Exam_04,Sum_Accuracy,10,FALSE))</f>
        <v>#VALUE!</v>
      </c>
      <c r="E217" s="55" t="e">
        <f>0.2*AVERAGE(VLOOKUP(Exam_04,Sum_Accuracy,9,FALSE),VLOOKUP(Exam_04,Sum_Accuracy,10,FALSE))</f>
        <v>#VALUE!</v>
      </c>
      <c r="F217" s="55" t="e">
        <f>0.2*AVERAGE(VLOOKUP(Exam_04,Sum_Accuracy,9,FALSE),VLOOKUP(Exam_04,Sum_Accuracy,10,FALSE))</f>
        <v>#VALUE!</v>
      </c>
      <c r="G217" s="55" t="e">
        <f>0.2*AVERAGE(VLOOKUP(Exam_04,Sum_Accuracy,9,FALSE),VLOOKUP(Exam_04,Sum_Accuracy,10,FALSE))</f>
        <v>#VALUE!</v>
      </c>
    </row>
    <row r="218" spans="2:7" ht="13.5" customHeight="1">
      <c r="B218" s="51" t="s">
        <v>69</v>
      </c>
      <c r="C218" s="55" t="e">
        <f>0.2*AVERAGE(VLOOKUP(Exam_04,Sum_Accuracy,11,FALSE),VLOOKUP(Exam_04,Sum_Accuracy,12,FALSE))</f>
        <v>#VALUE!</v>
      </c>
      <c r="D218" s="55" t="e">
        <f>0.2*AVERAGE(VLOOKUP(Exam_04,Sum_Accuracy,11,FALSE),VLOOKUP(Exam_04,Sum_Accuracy,12,FALSE))</f>
        <v>#VALUE!</v>
      </c>
      <c r="E218" s="55" t="e">
        <f>0.2*AVERAGE(VLOOKUP(Exam_04,Sum_Accuracy,11,FALSE),VLOOKUP(Exam_04,Sum_Accuracy,12,FALSE))</f>
        <v>#VALUE!</v>
      </c>
      <c r="F218" s="55" t="e">
        <f>0.2*AVERAGE(VLOOKUP(Exam_04,Sum_Accuracy,11,FALSE),VLOOKUP(Exam_04,Sum_Accuracy,12,FALSE))</f>
        <v>#VALUE!</v>
      </c>
      <c r="G218" s="55" t="e">
        <f>0.2*AVERAGE(VLOOKUP(Exam_04,Sum_Accuracy,11,FALSE),VLOOKUP(Exam_04,Sum_Accuracy,12,FALSE))</f>
        <v>#VALUE!</v>
      </c>
    </row>
    <row r="219" spans="2:7" ht="13.5" customHeight="1">
      <c r="B219" s="51" t="s">
        <v>64</v>
      </c>
      <c r="C219" s="55" t="e">
        <f>0.2*AVERAGE(VLOOKUP(Exam_04,Sum_Accuracy,13,FALSE),VLOOKUP(Exam_04,Sum_Accuracy,14,FALSE))</f>
        <v>#VALUE!</v>
      </c>
      <c r="D219" s="55" t="e">
        <f>0.2*AVERAGE(VLOOKUP(Exam_04,Sum_Accuracy,13,FALSE),VLOOKUP(Exam_04,Sum_Accuracy,14,FALSE))</f>
        <v>#VALUE!</v>
      </c>
      <c r="E219" s="55" t="e">
        <f>0.2*AVERAGE(VLOOKUP(Exam_04,Sum_Accuracy,13,FALSE),VLOOKUP(Exam_04,Sum_Accuracy,14,FALSE))</f>
        <v>#VALUE!</v>
      </c>
      <c r="F219" s="55" t="e">
        <f>0.2*AVERAGE(VLOOKUP(Exam_04,Sum_Accuracy,13,FALSE),VLOOKUP(Exam_04,Sum_Accuracy,14,FALSE))</f>
        <v>#VALUE!</v>
      </c>
      <c r="G219" s="55" t="e">
        <f>0.2*AVERAGE(VLOOKUP(Exam_04,Sum_Accuracy,13,FALSE),VLOOKUP(Exam_04,Sum_Accuracy,14,FALSE))</f>
        <v>#VALUE!</v>
      </c>
    </row>
    <row r="220" spans="2:7" ht="13.5" customHeight="1">
      <c r="B220" s="51" t="s">
        <v>65</v>
      </c>
      <c r="C220" s="55" t="e">
        <f>0.2*AVERAGE(VLOOKUP(Exam_04,Sum_Accuracy,15,FALSE),VLOOKUP(Exam_04,Sum_Accuracy,16,FALSE))</f>
        <v>#VALUE!</v>
      </c>
      <c r="D220" s="55" t="e">
        <f>0.2*AVERAGE(VLOOKUP(Exam_04,Sum_Accuracy,15,FALSE),VLOOKUP(Exam_04,Sum_Accuracy,16,FALSE))</f>
        <v>#VALUE!</v>
      </c>
      <c r="E220" s="55" t="e">
        <f>0.2*AVERAGE(VLOOKUP(Exam_04,Sum_Accuracy,15,FALSE),VLOOKUP(Exam_04,Sum_Accuracy,16,FALSE))</f>
        <v>#VALUE!</v>
      </c>
      <c r="F220" s="55" t="e">
        <f>0.2*AVERAGE(VLOOKUP(Exam_04,Sum_Accuracy,15,FALSE),VLOOKUP(Exam_04,Sum_Accuracy,16,FALSE))</f>
        <v>#VALUE!</v>
      </c>
      <c r="G220" s="55" t="e">
        <f>0.2*AVERAGE(VLOOKUP(Exam_04,Sum_Accuracy,15,FALSE),VLOOKUP(Exam_04,Sum_Accuracy,16,FALSE))</f>
        <v>#VALUE!</v>
      </c>
    </row>
    <row r="221" spans="2:7" ht="13.5" customHeight="1">
      <c r="B221" s="51" t="s">
        <v>66</v>
      </c>
      <c r="C221" s="55" t="e">
        <f>VLOOKUP(Exam_04,Sum_Accuracy,8,FALSE)/5</f>
        <v>#VALUE!</v>
      </c>
      <c r="D221" s="55" t="e">
        <f>VLOOKUP(Exam_04,Sum_Accuracy,8,FALSE)/5</f>
        <v>#VALUE!</v>
      </c>
      <c r="E221" s="55" t="e">
        <f>VLOOKUP(Exam_04,Sum_Accuracy,8,FALSE)/5</f>
        <v>#VALUE!</v>
      </c>
      <c r="F221" s="55" t="e">
        <f>VLOOKUP(Exam_04,Sum_Accuracy,8,FALSE)/5</f>
        <v>#VALUE!</v>
      </c>
      <c r="G221" s="55" t="e">
        <f>VLOOKUP(Exam_04,Sum_Accuracy,8,FALSE)/5</f>
        <v>#VALUE!</v>
      </c>
    </row>
    <row r="222" spans="2:7" ht="13.5" customHeight="1">
      <c r="B222" s="241"/>
      <c r="C222" s="241"/>
      <c r="D222" s="241"/>
      <c r="E222" s="241"/>
      <c r="F222" s="241"/>
      <c r="G222" s="241"/>
    </row>
    <row r="224" spans="2:7" ht="13.5" customHeight="1">
      <c r="B224" s="245" t="s">
        <v>67</v>
      </c>
      <c r="C224" s="245"/>
      <c r="D224" s="245"/>
      <c r="E224" s="245"/>
      <c r="F224" s="245"/>
      <c r="G224" s="245"/>
    </row>
    <row r="225" spans="2:7" ht="13.5" customHeight="1">
      <c r="B225" s="246"/>
      <c r="C225" s="246"/>
      <c r="D225" s="246"/>
      <c r="E225" s="246"/>
      <c r="F225" s="246"/>
      <c r="G225" s="246"/>
    </row>
    <row r="226" spans="2:7" ht="13.5" customHeight="1">
      <c r="B226" s="52" t="s">
        <v>71</v>
      </c>
      <c r="C226" s="242" t="str">
        <f>BeerName1</f>
        <v>Style1</v>
      </c>
      <c r="D226" s="242"/>
      <c r="E226" s="242"/>
      <c r="F226" s="242"/>
      <c r="G226" s="242"/>
    </row>
    <row r="227" spans="2:7" ht="13.5" customHeight="1">
      <c r="B227" s="241"/>
      <c r="C227" s="241"/>
      <c r="D227" s="241"/>
      <c r="E227" s="241"/>
      <c r="F227" s="241"/>
      <c r="G227" s="241"/>
    </row>
    <row r="228" spans="2:7" ht="13.5" customHeight="1">
      <c r="B228" s="50" t="s">
        <v>68</v>
      </c>
      <c r="C228" s="54" t="s">
        <v>58</v>
      </c>
      <c r="D228" s="54" t="s">
        <v>59</v>
      </c>
      <c r="E228" s="54" t="s">
        <v>60</v>
      </c>
      <c r="F228" s="54" t="s">
        <v>61</v>
      </c>
      <c r="G228" s="54" t="s">
        <v>62</v>
      </c>
    </row>
    <row r="229" spans="2:7" ht="13.5" customHeight="1">
      <c r="B229" s="51" t="s">
        <v>63</v>
      </c>
      <c r="C229" s="55" t="e">
        <f>VLOOKUP(Exam_04,AverageScores,b1_perception,FALSE)</f>
        <v>#DIV/0!</v>
      </c>
      <c r="D229" s="55" t="e">
        <f>VLOOKUP(Exam_04,AverageScores,b1_perception,FALSE)</f>
        <v>#DIV/0!</v>
      </c>
      <c r="E229" s="55" t="e">
        <f>VLOOKUP(Exam_04,AverageScores,b1_perception,FALSE)</f>
        <v>#DIV/0!</v>
      </c>
      <c r="F229" s="55" t="e">
        <f>VLOOKUP(Exam_04,AverageScores,b1_perception,FALSE)</f>
        <v>#DIV/0!</v>
      </c>
      <c r="G229" s="55" t="e">
        <f>VLOOKUP(Exam_04,AverageScores,b1_perception,FALSE)</f>
        <v>#DIV/0!</v>
      </c>
    </row>
    <row r="230" spans="2:7" ht="13.5" customHeight="1">
      <c r="B230" s="51" t="s">
        <v>69</v>
      </c>
      <c r="C230" s="55" t="e">
        <f>VLOOKUP(Exam_04,AverageScores,b1_descriptive,FALSE)</f>
        <v>#DIV/0!</v>
      </c>
      <c r="D230" s="55" t="e">
        <f>VLOOKUP(Exam_04,AverageScores,b1_descriptive,FALSE)</f>
        <v>#DIV/0!</v>
      </c>
      <c r="E230" s="55" t="e">
        <f>VLOOKUP(Exam_04,AverageScores,b1_descriptive,FALSE)</f>
        <v>#DIV/0!</v>
      </c>
      <c r="F230" s="55" t="e">
        <f>VLOOKUP(Exam_04,AverageScores,b1_descriptive,FALSE)</f>
        <v>#DIV/0!</v>
      </c>
      <c r="G230" s="55" t="e">
        <f>VLOOKUP(Exam_04,AverageScores,b1_descriptive,FALSE)</f>
        <v>#DIV/0!</v>
      </c>
    </row>
    <row r="231" spans="2:7" ht="13.5" customHeight="1">
      <c r="B231" s="51" t="s">
        <v>64</v>
      </c>
      <c r="C231" s="55" t="e">
        <f>VLOOKUP(Exam_04,AverageScores,b1_feedback,FALSE)</f>
        <v>#DIV/0!</v>
      </c>
      <c r="D231" s="55" t="e">
        <f>VLOOKUP(Exam_04,AverageScores,b1_feedback,FALSE)</f>
        <v>#DIV/0!</v>
      </c>
      <c r="E231" s="55" t="e">
        <f>VLOOKUP(Exam_04,AverageScores,b1_feedback,FALSE)</f>
        <v>#DIV/0!</v>
      </c>
      <c r="F231" s="55" t="e">
        <f>VLOOKUP(Exam_04,AverageScores,b1_feedback,FALSE)</f>
        <v>#DIV/0!</v>
      </c>
      <c r="G231" s="55" t="e">
        <f>VLOOKUP(Exam_04,AverageScores,b1_feedback,FALSE)</f>
        <v>#DIV/0!</v>
      </c>
    </row>
    <row r="232" spans="2:7" ht="13.5" customHeight="1">
      <c r="B232" s="51" t="s">
        <v>65</v>
      </c>
      <c r="C232" s="55" t="e">
        <f>VLOOKUP(Exam_04,AverageScores,b1_completeness,FALSE)</f>
        <v>#DIV/0!</v>
      </c>
      <c r="D232" s="55" t="e">
        <f>VLOOKUP(Exam_04,AverageScores,b1_completeness,FALSE)</f>
        <v>#DIV/0!</v>
      </c>
      <c r="E232" s="55" t="e">
        <f>VLOOKUP(Exam_04,AverageScores,b1_completeness,FALSE)</f>
        <v>#DIV/0!</v>
      </c>
      <c r="F232" s="55" t="e">
        <f>VLOOKUP(Exam_04,AverageScores,b1_completeness,FALSE)</f>
        <v>#DIV/0!</v>
      </c>
      <c r="G232" s="55" t="e">
        <f>VLOOKUP(Exam_04,AverageScores,b1_completeness,FALSE)</f>
        <v>#DIV/0!</v>
      </c>
    </row>
    <row r="233" spans="2:7" ht="13.5" customHeight="1">
      <c r="B233" s="51" t="s">
        <v>66</v>
      </c>
      <c r="C233" s="55">
        <f>VLOOKUP(Exam_04,ScoringAccuracyTable,b1_accuracy,FALSE)</f>
      </c>
      <c r="D233" s="55">
        <f>VLOOKUP(Exam_04,ScoringAccuracyTable,b1_accuracy,FALSE)</f>
      </c>
      <c r="E233" s="55">
        <f>VLOOKUP(Exam_04,ScoringAccuracyTable,b1_accuracy,FALSE)</f>
      </c>
      <c r="F233" s="55">
        <f>VLOOKUP(Exam_04,ScoringAccuracyTable,b1_accuracy,FALSE)</f>
      </c>
      <c r="G233" s="55">
        <f>VLOOKUP(Exam_04,ScoringAccuracyTable,b1_accuracy,FALSE)</f>
      </c>
    </row>
    <row r="234" spans="2:7" ht="13.5" customHeight="1">
      <c r="B234" s="241"/>
      <c r="C234" s="241"/>
      <c r="D234" s="241"/>
      <c r="E234" s="241"/>
      <c r="F234" s="241"/>
      <c r="G234" s="241"/>
    </row>
    <row r="235" spans="2:7" ht="13.5" customHeight="1">
      <c r="B235" s="52" t="s">
        <v>72</v>
      </c>
      <c r="C235" s="242" t="str">
        <f>BeerName2</f>
        <v>Style2</v>
      </c>
      <c r="D235" s="242"/>
      <c r="E235" s="242"/>
      <c r="F235" s="242"/>
      <c r="G235" s="242"/>
    </row>
    <row r="236" spans="2:7" ht="13.5" customHeight="1">
      <c r="B236" s="247"/>
      <c r="C236" s="247"/>
      <c r="D236" s="247"/>
      <c r="E236" s="247"/>
      <c r="F236" s="247"/>
      <c r="G236" s="247"/>
    </row>
    <row r="237" spans="2:7" ht="13.5" customHeight="1">
      <c r="B237" s="50" t="s">
        <v>68</v>
      </c>
      <c r="C237" s="56" t="s">
        <v>58</v>
      </c>
      <c r="D237" s="56" t="s">
        <v>59</v>
      </c>
      <c r="E237" s="56" t="s">
        <v>60</v>
      </c>
      <c r="F237" s="56" t="s">
        <v>61</v>
      </c>
      <c r="G237" s="56" t="s">
        <v>62</v>
      </c>
    </row>
    <row r="238" spans="2:7" ht="13.5" customHeight="1">
      <c r="B238" s="51" t="s">
        <v>63</v>
      </c>
      <c r="C238" s="55" t="e">
        <f>VLOOKUP(Exam_04,AverageScores,b2_perceptive,FALSE)</f>
        <v>#DIV/0!</v>
      </c>
      <c r="D238" s="55" t="e">
        <f>VLOOKUP(Exam_04,AverageScores,b2_perceptive,FALSE)</f>
        <v>#DIV/0!</v>
      </c>
      <c r="E238" s="55" t="e">
        <f>VLOOKUP(Exam_04,AverageScores,b2_perceptive,FALSE)</f>
        <v>#DIV/0!</v>
      </c>
      <c r="F238" s="55" t="e">
        <f>VLOOKUP(Exam_04,AverageScores,b2_perceptive,FALSE)</f>
        <v>#DIV/0!</v>
      </c>
      <c r="G238" s="55" t="e">
        <f>VLOOKUP(Exam_04,AverageScores,b2_perceptive,FALSE)</f>
        <v>#DIV/0!</v>
      </c>
    </row>
    <row r="239" spans="2:7" ht="13.5" customHeight="1">
      <c r="B239" s="51" t="s">
        <v>69</v>
      </c>
      <c r="C239" s="55" t="e">
        <f>VLOOKUP(Exam_04,AverageScores,b2_descriptive,FALSE)</f>
        <v>#DIV/0!</v>
      </c>
      <c r="D239" s="55" t="e">
        <f>VLOOKUP(Exam_04,AverageScores,b2_descriptive,FALSE)</f>
        <v>#DIV/0!</v>
      </c>
      <c r="E239" s="55" t="e">
        <f>VLOOKUP(Exam_04,AverageScores,b2_descriptive,FALSE)</f>
        <v>#DIV/0!</v>
      </c>
      <c r="F239" s="55" t="e">
        <f>VLOOKUP(Exam_04,AverageScores,b2_descriptive,FALSE)</f>
        <v>#DIV/0!</v>
      </c>
      <c r="G239" s="55" t="e">
        <f>VLOOKUP(Exam_04,AverageScores,b2_descriptive,FALSE)</f>
        <v>#DIV/0!</v>
      </c>
    </row>
    <row r="240" spans="2:7" ht="13.5" customHeight="1">
      <c r="B240" s="51" t="s">
        <v>64</v>
      </c>
      <c r="C240" s="55" t="e">
        <f>VLOOKUP(Exam_04,AverageScores,b2_feedback,FALSE)</f>
        <v>#DIV/0!</v>
      </c>
      <c r="D240" s="55" t="e">
        <f>VLOOKUP(Exam_04,AverageScores,b2_feedback,FALSE)</f>
        <v>#DIV/0!</v>
      </c>
      <c r="E240" s="55" t="e">
        <f>VLOOKUP(Exam_04,AverageScores,b2_feedback,FALSE)</f>
        <v>#DIV/0!</v>
      </c>
      <c r="F240" s="55" t="e">
        <f>VLOOKUP(Exam_04,AverageScores,b2_feedback,FALSE)</f>
        <v>#DIV/0!</v>
      </c>
      <c r="G240" s="55" t="e">
        <f>VLOOKUP(Exam_04,AverageScores,b2_feedback,FALSE)</f>
        <v>#DIV/0!</v>
      </c>
    </row>
    <row r="241" spans="2:7" ht="13.5" customHeight="1">
      <c r="B241" s="51" t="s">
        <v>65</v>
      </c>
      <c r="C241" s="55" t="e">
        <f>VLOOKUP(Exam_04,AverageScores,b2_completeness,FALSE)</f>
        <v>#DIV/0!</v>
      </c>
      <c r="D241" s="55" t="e">
        <f>VLOOKUP(Exam_04,AverageScores,b2_completeness,FALSE)</f>
        <v>#DIV/0!</v>
      </c>
      <c r="E241" s="55" t="e">
        <f>VLOOKUP(Exam_04,AverageScores,b2_completeness,FALSE)</f>
        <v>#DIV/0!</v>
      </c>
      <c r="F241" s="55" t="e">
        <f>VLOOKUP(Exam_04,AverageScores,b2_completeness,FALSE)</f>
        <v>#DIV/0!</v>
      </c>
      <c r="G241" s="55" t="e">
        <f>VLOOKUP(Exam_04,AverageScores,b2_completeness,FALSE)</f>
        <v>#DIV/0!</v>
      </c>
    </row>
    <row r="242" spans="2:7" ht="13.5" customHeight="1">
      <c r="B242" s="51" t="s">
        <v>66</v>
      </c>
      <c r="C242" s="55">
        <f>VLOOKUP(Exam_04,ScoringAccuracyTable,b2_accuracy,FALSE)</f>
      </c>
      <c r="D242" s="55">
        <f>VLOOKUP(Exam_04,ScoringAccuracyTable,b2_accuracy,FALSE)</f>
      </c>
      <c r="E242" s="55">
        <f>VLOOKUP(Exam_04,ScoringAccuracyTable,b2_accuracy,FALSE)</f>
      </c>
      <c r="F242" s="55">
        <f>VLOOKUP(Exam_04,ScoringAccuracyTable,b2_accuracy,FALSE)</f>
      </c>
      <c r="G242" s="55">
        <f>VLOOKUP(Exam_04,ScoringAccuracyTable,b2_accuracy,FALSE)</f>
      </c>
    </row>
    <row r="243" spans="2:7" ht="13.5" customHeight="1">
      <c r="B243" s="241"/>
      <c r="C243" s="241"/>
      <c r="D243" s="241"/>
      <c r="E243" s="241"/>
      <c r="F243" s="241"/>
      <c r="G243" s="241"/>
    </row>
    <row r="244" spans="2:7" ht="13.5" customHeight="1">
      <c r="B244" s="52" t="s">
        <v>76</v>
      </c>
      <c r="C244" s="242" t="str">
        <f>BeerName3</f>
        <v>Style3</v>
      </c>
      <c r="D244" s="242"/>
      <c r="E244" s="242"/>
      <c r="F244" s="242"/>
      <c r="G244" s="242"/>
    </row>
    <row r="245" spans="2:7" ht="13.5" customHeight="1">
      <c r="B245" s="247"/>
      <c r="C245" s="247"/>
      <c r="D245" s="247"/>
      <c r="E245" s="247"/>
      <c r="F245" s="247"/>
      <c r="G245" s="247"/>
    </row>
    <row r="246" spans="2:7" ht="13.5" customHeight="1">
      <c r="B246" s="50" t="s">
        <v>68</v>
      </c>
      <c r="C246" s="54" t="s">
        <v>58</v>
      </c>
      <c r="D246" s="54" t="s">
        <v>59</v>
      </c>
      <c r="E246" s="54" t="s">
        <v>60</v>
      </c>
      <c r="F246" s="54" t="s">
        <v>61</v>
      </c>
      <c r="G246" s="54" t="s">
        <v>62</v>
      </c>
    </row>
    <row r="247" spans="2:7" ht="13.5" customHeight="1">
      <c r="B247" s="51" t="s">
        <v>63</v>
      </c>
      <c r="C247" s="55" t="e">
        <f>VLOOKUP(Exam_04,AverageScores,b3_perception,FALSE)</f>
        <v>#DIV/0!</v>
      </c>
      <c r="D247" s="55" t="e">
        <f>VLOOKUP(Exam_04,AverageScores,b3_perception,FALSE)</f>
        <v>#DIV/0!</v>
      </c>
      <c r="E247" s="57" t="e">
        <f>VLOOKUP(Exam_04,AverageScores,b3_perception,FALSE)</f>
        <v>#DIV/0!</v>
      </c>
      <c r="F247" s="57" t="e">
        <f>VLOOKUP(Exam_04,AverageScores,b3_perception,FALSE)</f>
        <v>#DIV/0!</v>
      </c>
      <c r="G247" s="57" t="e">
        <f>VLOOKUP(Exam_04,AverageScores,b3_perception,FALSE)</f>
        <v>#DIV/0!</v>
      </c>
    </row>
    <row r="248" spans="2:7" ht="13.5" customHeight="1">
      <c r="B248" s="51" t="s">
        <v>69</v>
      </c>
      <c r="C248" s="55" t="e">
        <f>VLOOKUP(Exam_04,AverageScores,b3_descriptive,FALSE)</f>
        <v>#DIV/0!</v>
      </c>
      <c r="D248" s="55" t="e">
        <f>VLOOKUP(Exam_04,AverageScores,b3_descriptive,FALSE)</f>
        <v>#DIV/0!</v>
      </c>
      <c r="E248" s="57" t="e">
        <f>VLOOKUP(Exam_04,AverageScores,b3_descriptive,FALSE)</f>
        <v>#DIV/0!</v>
      </c>
      <c r="F248" s="55" t="e">
        <f>VLOOKUP(Exam_04,AverageScores,b3_descriptive,FALSE)</f>
        <v>#DIV/0!</v>
      </c>
      <c r="G248" s="55" t="e">
        <f>VLOOKUP(Exam_04,AverageScores,b3_descriptive,FALSE)</f>
        <v>#DIV/0!</v>
      </c>
    </row>
    <row r="249" spans="2:7" ht="13.5" customHeight="1">
      <c r="B249" s="51" t="s">
        <v>64</v>
      </c>
      <c r="C249" s="55" t="e">
        <f>VLOOKUP(Exam_04,AverageScores,b3_feedback,FALSE)</f>
        <v>#DIV/0!</v>
      </c>
      <c r="D249" s="55" t="e">
        <f>VLOOKUP(Exam_04,AverageScores,b3_feedback,FALSE)</f>
        <v>#DIV/0!</v>
      </c>
      <c r="E249" s="57" t="e">
        <f>VLOOKUP(Exam_04,AverageScores,b3_feedback,FALSE)</f>
        <v>#DIV/0!</v>
      </c>
      <c r="F249" s="55" t="e">
        <f>VLOOKUP(Exam_04,AverageScores,b3_feedback,FALSE)</f>
        <v>#DIV/0!</v>
      </c>
      <c r="G249" s="55" t="e">
        <f>VLOOKUP(Exam_04,AverageScores,b3_feedback,FALSE)</f>
        <v>#DIV/0!</v>
      </c>
    </row>
    <row r="250" spans="2:7" ht="13.5" customHeight="1">
      <c r="B250" s="51" t="s">
        <v>65</v>
      </c>
      <c r="C250" s="55" t="e">
        <f>VLOOKUP(Exam_04,AverageScores,b3_completeness,FALSE)</f>
        <v>#DIV/0!</v>
      </c>
      <c r="D250" s="55" t="e">
        <f>VLOOKUP(Exam_04,AverageScores,b3_completeness,FALSE)</f>
        <v>#DIV/0!</v>
      </c>
      <c r="E250" s="57" t="e">
        <f>VLOOKUP(Exam_04,AverageScores,b3_completeness,FALSE)</f>
        <v>#DIV/0!</v>
      </c>
      <c r="F250" s="55" t="e">
        <f>VLOOKUP(Exam_04,AverageScores,b3_completeness,FALSE)</f>
        <v>#DIV/0!</v>
      </c>
      <c r="G250" s="55" t="e">
        <f>VLOOKUP(Exam_04,AverageScores,b3_completeness,FALSE)</f>
        <v>#DIV/0!</v>
      </c>
    </row>
    <row r="251" spans="2:7" ht="13.5" customHeight="1">
      <c r="B251" s="51" t="s">
        <v>66</v>
      </c>
      <c r="C251" s="55">
        <f>VLOOKUP(Exam_04,ScoringAccuracyTable,b3_accuracy,FALSE)</f>
      </c>
      <c r="D251" s="55">
        <f>VLOOKUP(Exam_04,ScoringAccuracyTable,b3_accuracy,FALSE)</f>
      </c>
      <c r="E251" s="57">
        <f>VLOOKUP(Exam_04,ScoringAccuracyTable,b3_accuracy,FALSE)</f>
      </c>
      <c r="F251" s="55">
        <f>VLOOKUP(Exam_04,ScoringAccuracyTable,b3_accuracy,FALSE)</f>
      </c>
      <c r="G251" s="55">
        <f>VLOOKUP(Exam_04,ScoringAccuracyTable,b3_accuracy,FALSE)</f>
      </c>
    </row>
    <row r="252" spans="2:7" ht="13.5" customHeight="1">
      <c r="B252" s="241"/>
      <c r="C252" s="241"/>
      <c r="D252" s="241"/>
      <c r="E252" s="241"/>
      <c r="F252" s="241"/>
      <c r="G252" s="241"/>
    </row>
    <row r="253" spans="2:7" ht="13.5" customHeight="1">
      <c r="B253" s="52" t="s">
        <v>75</v>
      </c>
      <c r="C253" s="242" t="str">
        <f>BeerName4</f>
        <v>Style4</v>
      </c>
      <c r="D253" s="242"/>
      <c r="E253" s="242"/>
      <c r="F253" s="242"/>
      <c r="G253" s="242"/>
    </row>
    <row r="254" spans="2:7" ht="13.5" customHeight="1">
      <c r="B254" s="241"/>
      <c r="C254" s="241"/>
      <c r="D254" s="241"/>
      <c r="E254" s="241"/>
      <c r="F254" s="241"/>
      <c r="G254" s="241"/>
    </row>
    <row r="255" spans="2:7" ht="13.5" customHeight="1">
      <c r="B255" s="50" t="s">
        <v>68</v>
      </c>
      <c r="C255" s="54" t="s">
        <v>58</v>
      </c>
      <c r="D255" s="54" t="s">
        <v>59</v>
      </c>
      <c r="E255" s="54" t="s">
        <v>60</v>
      </c>
      <c r="F255" s="54" t="s">
        <v>61</v>
      </c>
      <c r="G255" s="54" t="s">
        <v>62</v>
      </c>
    </row>
    <row r="256" spans="2:7" ht="13.5" customHeight="1">
      <c r="B256" s="51" t="s">
        <v>63</v>
      </c>
      <c r="C256" s="55" t="e">
        <f>VLOOKUP(Exam_04,AverageScores,b4_perception,FALSE)</f>
        <v>#DIV/0!</v>
      </c>
      <c r="D256" s="55" t="e">
        <f>VLOOKUP(Exam_04,AverageScores,b4_perception,FALSE)</f>
        <v>#DIV/0!</v>
      </c>
      <c r="E256" s="55" t="e">
        <f>VLOOKUP(Exam_04,AverageScores,b4_perception,FALSE)</f>
        <v>#DIV/0!</v>
      </c>
      <c r="F256" s="55" t="e">
        <f>VLOOKUP(Exam_04,AverageScores,b4_perception,FALSE)</f>
        <v>#DIV/0!</v>
      </c>
      <c r="G256" s="55" t="e">
        <f>VLOOKUP(Exam_04,AverageScores,b4_perception,FALSE)</f>
        <v>#DIV/0!</v>
      </c>
    </row>
    <row r="257" spans="2:7" ht="13.5" customHeight="1">
      <c r="B257" s="51" t="s">
        <v>69</v>
      </c>
      <c r="C257" s="55" t="e">
        <f>VLOOKUP(Exam_04,AverageScores,b4_descriptive,FALSE)</f>
        <v>#DIV/0!</v>
      </c>
      <c r="D257" s="55" t="e">
        <f>VLOOKUP(Exam_04,AverageScores,b4_descriptive,FALSE)</f>
        <v>#DIV/0!</v>
      </c>
      <c r="E257" s="55" t="e">
        <f>VLOOKUP(Exam_04,AverageScores,b4_descriptive,FALSE)</f>
        <v>#DIV/0!</v>
      </c>
      <c r="F257" s="55" t="e">
        <f>VLOOKUP(Exam_04,AverageScores,b4_descriptive,FALSE)</f>
        <v>#DIV/0!</v>
      </c>
      <c r="G257" s="55" t="e">
        <f>VLOOKUP(Exam_04,AverageScores,b4_descriptive,FALSE)</f>
        <v>#DIV/0!</v>
      </c>
    </row>
    <row r="258" spans="2:7" ht="13.5" customHeight="1">
      <c r="B258" s="51" t="s">
        <v>64</v>
      </c>
      <c r="C258" s="55" t="e">
        <f>VLOOKUP(Exam_04,AverageScores,b4_feedback,FALSE)</f>
        <v>#DIV/0!</v>
      </c>
      <c r="D258" s="55" t="e">
        <f>VLOOKUP(Exam_04,AverageScores,b4_feedback,FALSE)</f>
        <v>#DIV/0!</v>
      </c>
      <c r="E258" s="55" t="e">
        <f>VLOOKUP(Exam_04,AverageScores,b4_feedback,FALSE)</f>
        <v>#DIV/0!</v>
      </c>
      <c r="F258" s="55" t="e">
        <f>VLOOKUP(Exam_04,AverageScores,b4_feedback,FALSE)</f>
        <v>#DIV/0!</v>
      </c>
      <c r="G258" s="55" t="e">
        <f>VLOOKUP(Exam_04,AverageScores,b4_feedback,FALSE)</f>
        <v>#DIV/0!</v>
      </c>
    </row>
    <row r="259" spans="2:7" ht="13.5" customHeight="1">
      <c r="B259" s="51" t="s">
        <v>65</v>
      </c>
      <c r="C259" s="55" t="e">
        <f>VLOOKUP(Exam_04,AverageScores,b4_completeness,FALSE)</f>
        <v>#DIV/0!</v>
      </c>
      <c r="D259" s="55" t="e">
        <f>VLOOKUP(Exam_04,AverageScores,b4_completeness,FALSE)</f>
        <v>#DIV/0!</v>
      </c>
      <c r="E259" s="55" t="e">
        <f>VLOOKUP(Exam_04,AverageScores,b4_completeness,FALSE)</f>
        <v>#DIV/0!</v>
      </c>
      <c r="F259" s="55" t="e">
        <f>VLOOKUP(Exam_04,AverageScores,b4_completeness,FALSE)</f>
        <v>#DIV/0!</v>
      </c>
      <c r="G259" s="55" t="e">
        <f>VLOOKUP(Exam_04,AverageScores,b4_completeness,FALSE)</f>
        <v>#DIV/0!</v>
      </c>
    </row>
    <row r="260" spans="2:7" ht="13.5" customHeight="1">
      <c r="B260" s="51" t="s">
        <v>66</v>
      </c>
      <c r="C260" s="55">
        <f>VLOOKUP(Exam_04,ScoringAccuracyTable,b4_accuracy,FALSE)</f>
      </c>
      <c r="D260" s="55">
        <f>VLOOKUP(Exam_04,ScoringAccuracyTable,b4_accuracy,FALSE)</f>
      </c>
      <c r="E260" s="55">
        <f>VLOOKUP(Exam_04,ScoringAccuracyTable,b4_accuracy,FALSE)</f>
      </c>
      <c r="F260" s="55">
        <f>VLOOKUP(Exam_04,ScoringAccuracyTable,b4_accuracy,FALSE)</f>
      </c>
      <c r="G260" s="55">
        <f>VLOOKUP(Exam_04,ScoringAccuracyTable,b4_accuracy,FALSE)</f>
      </c>
    </row>
    <row r="261" spans="2:7" ht="13.5" customHeight="1">
      <c r="B261" s="241"/>
      <c r="C261" s="241"/>
      <c r="D261" s="241"/>
      <c r="E261" s="241"/>
      <c r="F261" s="241"/>
      <c r="G261" s="241"/>
    </row>
    <row r="266" spans="2:7" ht="13.5" customHeight="1">
      <c r="B266" s="52" t="s">
        <v>74</v>
      </c>
      <c r="C266" s="242" t="str">
        <f>BeerName5</f>
        <v>Style5</v>
      </c>
      <c r="D266" s="242"/>
      <c r="E266" s="242"/>
      <c r="F266" s="242"/>
      <c r="G266" s="242"/>
    </row>
    <row r="267" spans="2:7" ht="13.5" customHeight="1">
      <c r="B267" s="241"/>
      <c r="C267" s="241"/>
      <c r="D267" s="241"/>
      <c r="E267" s="241"/>
      <c r="F267" s="241"/>
      <c r="G267" s="241"/>
    </row>
    <row r="268" spans="2:7" ht="13.5" customHeight="1">
      <c r="B268" s="50" t="s">
        <v>68</v>
      </c>
      <c r="C268" s="54" t="s">
        <v>58</v>
      </c>
      <c r="D268" s="54" t="s">
        <v>59</v>
      </c>
      <c r="E268" s="54" t="s">
        <v>60</v>
      </c>
      <c r="F268" s="54" t="s">
        <v>61</v>
      </c>
      <c r="G268" s="54" t="s">
        <v>62</v>
      </c>
    </row>
    <row r="269" spans="2:7" ht="13.5" customHeight="1">
      <c r="B269" s="51" t="s">
        <v>63</v>
      </c>
      <c r="C269" s="55" t="e">
        <f>VLOOKUP(Exam_04,AverageScores,b5_perception,FALSE)</f>
        <v>#DIV/0!</v>
      </c>
      <c r="D269" s="55" t="e">
        <f>VLOOKUP(Exam_04,AverageScores,b5_perception,FALSE)</f>
        <v>#DIV/0!</v>
      </c>
      <c r="E269" s="55" t="e">
        <f>VLOOKUP(Exam_04,AverageScores,b5_perception,FALSE)</f>
        <v>#DIV/0!</v>
      </c>
      <c r="F269" s="55" t="e">
        <f>VLOOKUP(Exam_04,AverageScores,b5_perception,FALSE)</f>
        <v>#DIV/0!</v>
      </c>
      <c r="G269" s="55" t="e">
        <f>VLOOKUP(Exam_04,AverageScores,b5_perception,FALSE)</f>
        <v>#DIV/0!</v>
      </c>
    </row>
    <row r="270" spans="2:7" ht="13.5" customHeight="1">
      <c r="B270" s="51" t="s">
        <v>69</v>
      </c>
      <c r="C270" s="55" t="e">
        <f>VLOOKUP(Exam_04,AverageScores,b5_descriptive,FALSE)</f>
        <v>#DIV/0!</v>
      </c>
      <c r="D270" s="55" t="e">
        <f>VLOOKUP(Exam_04,AverageScores,b5_descriptive,FALSE)</f>
        <v>#DIV/0!</v>
      </c>
      <c r="E270" s="55" t="e">
        <f>VLOOKUP(Exam_04,AverageScores,b5_descriptive,FALSE)</f>
        <v>#DIV/0!</v>
      </c>
      <c r="F270" s="55" t="e">
        <f>VLOOKUP(Exam_04,AverageScores,b5_descriptive,FALSE)</f>
        <v>#DIV/0!</v>
      </c>
      <c r="G270" s="55" t="e">
        <f>VLOOKUP(Exam_04,AverageScores,b5_descriptive,FALSE)</f>
        <v>#DIV/0!</v>
      </c>
    </row>
    <row r="271" spans="2:7" ht="13.5" customHeight="1">
      <c r="B271" s="51" t="s">
        <v>64</v>
      </c>
      <c r="C271" s="55" t="e">
        <f>VLOOKUP(Exam_04,AverageScores,b5_feedback,FALSE)</f>
        <v>#DIV/0!</v>
      </c>
      <c r="D271" s="55" t="e">
        <f>VLOOKUP(Exam_04,AverageScores,b5_feedback,FALSE)</f>
        <v>#DIV/0!</v>
      </c>
      <c r="E271" s="55" t="e">
        <f>VLOOKUP(Exam_04,AverageScores,b5_feedback,FALSE)</f>
        <v>#DIV/0!</v>
      </c>
      <c r="F271" s="55" t="e">
        <f>VLOOKUP(Exam_04,AverageScores,b5_feedback,FALSE)</f>
        <v>#DIV/0!</v>
      </c>
      <c r="G271" s="55" t="e">
        <f>VLOOKUP(Exam_04,AverageScores,b5_feedback,FALSE)</f>
        <v>#DIV/0!</v>
      </c>
    </row>
    <row r="272" spans="2:7" ht="13.5" customHeight="1">
      <c r="B272" s="51" t="s">
        <v>65</v>
      </c>
      <c r="C272" s="55" t="e">
        <f>VLOOKUP(Exam_04,AverageScores,b5_completeness,FALSE)</f>
        <v>#DIV/0!</v>
      </c>
      <c r="D272" s="55" t="e">
        <f>VLOOKUP(Exam_04,AverageScores,b5_completeness,FALSE)</f>
        <v>#DIV/0!</v>
      </c>
      <c r="E272" s="55" t="e">
        <f>VLOOKUP(Exam_04,AverageScores,b5_completeness,FALSE)</f>
        <v>#DIV/0!</v>
      </c>
      <c r="F272" s="55" t="e">
        <f>VLOOKUP(Exam_04,AverageScores,b5_completeness,FALSE)</f>
        <v>#DIV/0!</v>
      </c>
      <c r="G272" s="55" t="e">
        <f>VLOOKUP(Exam_04,AverageScores,b5_completeness,FALSE)</f>
        <v>#DIV/0!</v>
      </c>
    </row>
    <row r="273" spans="2:7" ht="13.5" customHeight="1">
      <c r="B273" s="51" t="s">
        <v>66</v>
      </c>
      <c r="C273" s="55">
        <f>VLOOKUP(Exam_04,ScoringAccuracyTable,b5_accuracy,FALSE)</f>
      </c>
      <c r="D273" s="55">
        <f>VLOOKUP(Exam_04,ScoringAccuracyTable,b5_accuracy,FALSE)</f>
      </c>
      <c r="E273" s="55">
        <f>VLOOKUP(Exam_04,ScoringAccuracyTable,b5_accuracy,FALSE)</f>
      </c>
      <c r="F273" s="55">
        <f>VLOOKUP(Exam_04,ScoringAccuracyTable,b5_accuracy,FALSE)</f>
      </c>
      <c r="G273" s="55">
        <f>VLOOKUP(Exam_04,ScoringAccuracyTable,b5_accuracy,FALSE)</f>
      </c>
    </row>
    <row r="274" spans="2:7" ht="13.5" customHeight="1">
      <c r="B274" s="241"/>
      <c r="C274" s="241"/>
      <c r="D274" s="241"/>
      <c r="E274" s="241"/>
      <c r="F274" s="241"/>
      <c r="G274" s="241"/>
    </row>
    <row r="275" spans="2:7" ht="13.5" customHeight="1">
      <c r="B275" s="52" t="s">
        <v>73</v>
      </c>
      <c r="C275" s="242" t="str">
        <f>BeerName6</f>
        <v>Style6</v>
      </c>
      <c r="D275" s="242"/>
      <c r="E275" s="242"/>
      <c r="F275" s="242"/>
      <c r="G275" s="242"/>
    </row>
    <row r="276" spans="2:7" ht="13.5" customHeight="1">
      <c r="B276" s="241"/>
      <c r="C276" s="241"/>
      <c r="D276" s="241"/>
      <c r="E276" s="241"/>
      <c r="F276" s="241"/>
      <c r="G276" s="241"/>
    </row>
    <row r="277" spans="2:7" ht="13.5" customHeight="1">
      <c r="B277" s="50" t="s">
        <v>68</v>
      </c>
      <c r="C277" s="54" t="s">
        <v>58</v>
      </c>
      <c r="D277" s="54" t="s">
        <v>59</v>
      </c>
      <c r="E277" s="54" t="s">
        <v>60</v>
      </c>
      <c r="F277" s="54" t="s">
        <v>61</v>
      </c>
      <c r="G277" s="54" t="s">
        <v>62</v>
      </c>
    </row>
    <row r="278" spans="2:7" ht="13.5" customHeight="1">
      <c r="B278" s="51" t="s">
        <v>63</v>
      </c>
      <c r="C278" s="55" t="e">
        <f>VLOOKUP(Exam_04,AverageScores,b6_perception,FALSE)</f>
        <v>#DIV/0!</v>
      </c>
      <c r="D278" s="55" t="e">
        <f>VLOOKUP(Exam_04,AverageScores,b6_perception,FALSE)</f>
        <v>#DIV/0!</v>
      </c>
      <c r="E278" s="55" t="e">
        <f>VLOOKUP(Exam_04,AverageScores,b6_perception,FALSE)</f>
        <v>#DIV/0!</v>
      </c>
      <c r="F278" s="55" t="e">
        <f>VLOOKUP(Exam_04,AverageScores,b6_perception,FALSE)</f>
        <v>#DIV/0!</v>
      </c>
      <c r="G278" s="55" t="e">
        <f>VLOOKUP(Exam_04,AverageScores,b6_perception,FALSE)</f>
        <v>#DIV/0!</v>
      </c>
    </row>
    <row r="279" spans="2:7" ht="13.5" customHeight="1">
      <c r="B279" s="51" t="s">
        <v>69</v>
      </c>
      <c r="C279" s="55" t="e">
        <f>VLOOKUP(Exam_04,AverageScores,b6_descriptive,FALSE)</f>
        <v>#DIV/0!</v>
      </c>
      <c r="D279" s="55" t="e">
        <f>VLOOKUP(Exam_04,AverageScores,b6_descriptive,FALSE)</f>
        <v>#DIV/0!</v>
      </c>
      <c r="E279" s="55" t="e">
        <f>VLOOKUP(Exam_04,AverageScores,b6_descriptive,FALSE)</f>
        <v>#DIV/0!</v>
      </c>
      <c r="F279" s="55" t="e">
        <f>VLOOKUP(Exam_04,AverageScores,b6_descriptive,FALSE)</f>
        <v>#DIV/0!</v>
      </c>
      <c r="G279" s="55" t="e">
        <f>VLOOKUP(Exam_04,AverageScores,b6_descriptive,FALSE)</f>
        <v>#DIV/0!</v>
      </c>
    </row>
    <row r="280" spans="2:7" ht="13.5" customHeight="1">
      <c r="B280" s="51" t="s">
        <v>64</v>
      </c>
      <c r="C280" s="55" t="e">
        <f>VLOOKUP(Exam_04,AverageScores,b6_feedback,FALSE)</f>
        <v>#DIV/0!</v>
      </c>
      <c r="D280" s="55" t="e">
        <f>VLOOKUP(Exam_04,AverageScores,b6_feedback,FALSE)</f>
        <v>#DIV/0!</v>
      </c>
      <c r="E280" s="55" t="e">
        <f>VLOOKUP(Exam_04,AverageScores,b6_feedback,FALSE)</f>
        <v>#DIV/0!</v>
      </c>
      <c r="F280" s="55" t="e">
        <f>VLOOKUP(Exam_04,AverageScores,b6_feedback,FALSE)</f>
        <v>#DIV/0!</v>
      </c>
      <c r="G280" s="55" t="e">
        <f>VLOOKUP(Exam_04,AverageScores,b6_feedback,FALSE)</f>
        <v>#DIV/0!</v>
      </c>
    </row>
    <row r="281" spans="2:7" ht="13.5" customHeight="1">
      <c r="B281" s="51" t="s">
        <v>65</v>
      </c>
      <c r="C281" s="55" t="e">
        <f>VLOOKUP(Exam_04,AverageScores,b6_completeness,FALSE)</f>
        <v>#DIV/0!</v>
      </c>
      <c r="D281" s="55" t="e">
        <f>VLOOKUP(Exam_04,AverageScores,b6_completeness,FALSE)</f>
        <v>#DIV/0!</v>
      </c>
      <c r="E281" s="55" t="e">
        <f>VLOOKUP(Exam_04,AverageScores,b6_completeness,FALSE)</f>
        <v>#DIV/0!</v>
      </c>
      <c r="F281" s="55" t="e">
        <f>VLOOKUP(Exam_04,AverageScores,b6_completeness,FALSE)</f>
        <v>#DIV/0!</v>
      </c>
      <c r="G281" s="55" t="e">
        <f>VLOOKUP(Exam_04,AverageScores,b6_completeness,FALSE)</f>
        <v>#DIV/0!</v>
      </c>
    </row>
    <row r="282" spans="2:7" ht="13.5" customHeight="1">
      <c r="B282" s="51" t="s">
        <v>66</v>
      </c>
      <c r="C282" s="55">
        <f>VLOOKUP(Exam_04,ScoringAccuracyTable,b6_accuracy,FALSE)</f>
      </c>
      <c r="D282" s="55">
        <f>VLOOKUP(Exam_04,ScoringAccuracyTable,b6_accuracy,FALSE)</f>
      </c>
      <c r="E282" s="55">
        <f>VLOOKUP(Exam_04,ScoringAccuracyTable,b6_accuracy,FALSE)</f>
      </c>
      <c r="F282" s="55">
        <f>VLOOKUP(Exam_04,ScoringAccuracyTable,b6_accuracy,FALSE)</f>
      </c>
      <c r="G282" s="55">
        <f>VLOOKUP(Exam_04,ScoringAccuracyTable,b6_accuracy,FALSE)</f>
      </c>
    </row>
    <row r="285" spans="1:7" ht="13.5" customHeight="1">
      <c r="A285" s="131" t="s">
        <v>18</v>
      </c>
      <c r="B285" s="243" t="s">
        <v>70</v>
      </c>
      <c r="C285" s="243"/>
      <c r="D285" s="243"/>
      <c r="E285" s="243"/>
      <c r="F285" s="243"/>
      <c r="G285" s="243"/>
    </row>
    <row r="286" spans="1:7" ht="13.5" customHeight="1">
      <c r="A286" s="132">
        <f>Exam_05</f>
        <v>5</v>
      </c>
      <c r="B286" s="244"/>
      <c r="C286" s="244"/>
      <c r="D286" s="244"/>
      <c r="E286" s="244"/>
      <c r="F286" s="244"/>
      <c r="G286" s="244"/>
    </row>
    <row r="287" spans="2:7" ht="13.5" customHeight="1">
      <c r="B287" s="50" t="s">
        <v>68</v>
      </c>
      <c r="C287" s="54" t="s">
        <v>58</v>
      </c>
      <c r="D287" s="54" t="s">
        <v>59</v>
      </c>
      <c r="E287" s="54" t="s">
        <v>60</v>
      </c>
      <c r="F287" s="54" t="s">
        <v>61</v>
      </c>
      <c r="G287" s="54" t="s">
        <v>62</v>
      </c>
    </row>
    <row r="288" spans="2:7" ht="13.5" customHeight="1">
      <c r="B288" s="51" t="s">
        <v>63</v>
      </c>
      <c r="C288" s="55" t="e">
        <f>0.2*AVERAGE(VLOOKUP(Exam_05,Sum_Accuracy,9,FALSE),VLOOKUP(Exam_05,Sum_Accuracy,10,FALSE))</f>
        <v>#VALUE!</v>
      </c>
      <c r="D288" s="55" t="e">
        <f>0.2*AVERAGE(VLOOKUP(Exam_05,Sum_Accuracy,9,FALSE),VLOOKUP(Exam_05,Sum_Accuracy,10,FALSE))</f>
        <v>#VALUE!</v>
      </c>
      <c r="E288" s="55" t="e">
        <f>0.2*AVERAGE(VLOOKUP(Exam_05,Sum_Accuracy,9,FALSE),VLOOKUP(Exam_05,Sum_Accuracy,10,FALSE))</f>
        <v>#VALUE!</v>
      </c>
      <c r="F288" s="55" t="e">
        <f>0.2*AVERAGE(VLOOKUP(Exam_05,Sum_Accuracy,9,FALSE),VLOOKUP(Exam_05,Sum_Accuracy,10,FALSE))</f>
        <v>#VALUE!</v>
      </c>
      <c r="G288" s="55" t="e">
        <f>0.2*AVERAGE(VLOOKUP(Exam_05,Sum_Accuracy,9,FALSE),VLOOKUP(Exam_05,Sum_Accuracy,10,FALSE))</f>
        <v>#VALUE!</v>
      </c>
    </row>
    <row r="289" spans="2:7" ht="13.5" customHeight="1">
      <c r="B289" s="51" t="s">
        <v>69</v>
      </c>
      <c r="C289" s="55" t="e">
        <f>0.2*AVERAGE(VLOOKUP(Exam_05,Sum_Accuracy,11,FALSE),VLOOKUP(Exam_05,Sum_Accuracy,12,FALSE))</f>
        <v>#VALUE!</v>
      </c>
      <c r="D289" s="55" t="e">
        <f>0.2*AVERAGE(VLOOKUP(Exam_05,Sum_Accuracy,11,FALSE),VLOOKUP(Exam_05,Sum_Accuracy,12,FALSE))</f>
        <v>#VALUE!</v>
      </c>
      <c r="E289" s="55" t="e">
        <f>0.2*AVERAGE(VLOOKUP(Exam_05,Sum_Accuracy,11,FALSE),VLOOKUP(Exam_05,Sum_Accuracy,12,FALSE))</f>
        <v>#VALUE!</v>
      </c>
      <c r="F289" s="55" t="e">
        <f>0.2*AVERAGE(VLOOKUP(Exam_05,Sum_Accuracy,11,FALSE),VLOOKUP(Exam_05,Sum_Accuracy,12,FALSE))</f>
        <v>#VALUE!</v>
      </c>
      <c r="G289" s="55" t="e">
        <f>0.2*AVERAGE(VLOOKUP(Exam_05,Sum_Accuracy,11,FALSE),VLOOKUP(Exam_05,Sum_Accuracy,12,FALSE))</f>
        <v>#VALUE!</v>
      </c>
    </row>
    <row r="290" spans="2:7" ht="13.5" customHeight="1">
      <c r="B290" s="51" t="s">
        <v>64</v>
      </c>
      <c r="C290" s="55" t="e">
        <f>0.2*AVERAGE(VLOOKUP(Exam_05,Sum_Accuracy,13,FALSE),VLOOKUP(Exam_05,Sum_Accuracy,14,FALSE))</f>
        <v>#VALUE!</v>
      </c>
      <c r="D290" s="55" t="e">
        <f>0.2*AVERAGE(VLOOKUP(Exam_05,Sum_Accuracy,13,FALSE),VLOOKUP(Exam_05,Sum_Accuracy,14,FALSE))</f>
        <v>#VALUE!</v>
      </c>
      <c r="E290" s="55" t="e">
        <f>0.2*AVERAGE(VLOOKUP(Exam_05,Sum_Accuracy,13,FALSE),VLOOKUP(Exam_05,Sum_Accuracy,14,FALSE))</f>
        <v>#VALUE!</v>
      </c>
      <c r="F290" s="55" t="e">
        <f>0.2*AVERAGE(VLOOKUP(Exam_05,Sum_Accuracy,13,FALSE),VLOOKUP(Exam_05,Sum_Accuracy,14,FALSE))</f>
        <v>#VALUE!</v>
      </c>
      <c r="G290" s="55" t="e">
        <f>0.2*AVERAGE(VLOOKUP(Exam_05,Sum_Accuracy,13,FALSE),VLOOKUP(Exam_05,Sum_Accuracy,14,FALSE))</f>
        <v>#VALUE!</v>
      </c>
    </row>
    <row r="291" spans="2:7" ht="13.5" customHeight="1">
      <c r="B291" s="51" t="s">
        <v>65</v>
      </c>
      <c r="C291" s="55" t="e">
        <f>0.2*AVERAGE(VLOOKUP(Exam_05,Sum_Accuracy,15,FALSE),VLOOKUP(Exam_05,Sum_Accuracy,16,FALSE))</f>
        <v>#VALUE!</v>
      </c>
      <c r="D291" s="55" t="e">
        <f>0.2*AVERAGE(VLOOKUP(Exam_05,Sum_Accuracy,15,FALSE),VLOOKUP(Exam_05,Sum_Accuracy,16,FALSE))</f>
        <v>#VALUE!</v>
      </c>
      <c r="E291" s="55" t="e">
        <f>0.2*AVERAGE(VLOOKUP(Exam_05,Sum_Accuracy,15,FALSE),VLOOKUP(Exam_05,Sum_Accuracy,16,FALSE))</f>
        <v>#VALUE!</v>
      </c>
      <c r="F291" s="55" t="e">
        <f>0.2*AVERAGE(VLOOKUP(Exam_05,Sum_Accuracy,15,FALSE),VLOOKUP(Exam_05,Sum_Accuracy,16,FALSE))</f>
        <v>#VALUE!</v>
      </c>
      <c r="G291" s="55" t="e">
        <f>0.2*AVERAGE(VLOOKUP(Exam_05,Sum_Accuracy,15,FALSE),VLOOKUP(Exam_05,Sum_Accuracy,16,FALSE))</f>
        <v>#VALUE!</v>
      </c>
    </row>
    <row r="292" spans="2:7" ht="13.5" customHeight="1">
      <c r="B292" s="51" t="s">
        <v>66</v>
      </c>
      <c r="C292" s="55" t="e">
        <f>VLOOKUP(Exam_05,Sum_Accuracy,8,FALSE)/5</f>
        <v>#VALUE!</v>
      </c>
      <c r="D292" s="55" t="e">
        <f>VLOOKUP(Exam_05,Sum_Accuracy,8,FALSE)/5</f>
        <v>#VALUE!</v>
      </c>
      <c r="E292" s="55" t="e">
        <f>VLOOKUP(Exam_05,Sum_Accuracy,8,FALSE)/5</f>
        <v>#VALUE!</v>
      </c>
      <c r="F292" s="55" t="e">
        <f>VLOOKUP(Exam_05,Sum_Accuracy,8,FALSE)/5</f>
        <v>#VALUE!</v>
      </c>
      <c r="G292" s="55" t="e">
        <f>VLOOKUP(Exam_05,Sum_Accuracy,8,FALSE)/5</f>
        <v>#VALUE!</v>
      </c>
    </row>
    <row r="293" spans="2:7" ht="13.5" customHeight="1">
      <c r="B293" s="241"/>
      <c r="C293" s="241"/>
      <c r="D293" s="241"/>
      <c r="E293" s="241"/>
      <c r="F293" s="241"/>
      <c r="G293" s="241"/>
    </row>
    <row r="295" spans="2:7" ht="13.5" customHeight="1">
      <c r="B295" s="245" t="s">
        <v>67</v>
      </c>
      <c r="C295" s="245"/>
      <c r="D295" s="245"/>
      <c r="E295" s="245"/>
      <c r="F295" s="245"/>
      <c r="G295" s="245"/>
    </row>
    <row r="296" spans="2:7" ht="13.5" customHeight="1">
      <c r="B296" s="246"/>
      <c r="C296" s="246"/>
      <c r="D296" s="246"/>
      <c r="E296" s="246"/>
      <c r="F296" s="246"/>
      <c r="G296" s="246"/>
    </row>
    <row r="297" spans="2:7" ht="13.5" customHeight="1">
      <c r="B297" s="52" t="s">
        <v>71</v>
      </c>
      <c r="C297" s="242" t="str">
        <f>BeerName1</f>
        <v>Style1</v>
      </c>
      <c r="D297" s="242"/>
      <c r="E297" s="242"/>
      <c r="F297" s="242"/>
      <c r="G297" s="242"/>
    </row>
    <row r="298" spans="2:7" ht="13.5" customHeight="1">
      <c r="B298" s="241"/>
      <c r="C298" s="241"/>
      <c r="D298" s="241"/>
      <c r="E298" s="241"/>
      <c r="F298" s="241"/>
      <c r="G298" s="241"/>
    </row>
    <row r="299" spans="2:7" ht="13.5" customHeight="1">
      <c r="B299" s="50" t="s">
        <v>68</v>
      </c>
      <c r="C299" s="54" t="s">
        <v>58</v>
      </c>
      <c r="D299" s="54" t="s">
        <v>59</v>
      </c>
      <c r="E299" s="54" t="s">
        <v>60</v>
      </c>
      <c r="F299" s="54" t="s">
        <v>61</v>
      </c>
      <c r="G299" s="54" t="s">
        <v>62</v>
      </c>
    </row>
    <row r="300" spans="2:7" ht="13.5" customHeight="1">
      <c r="B300" s="51" t="s">
        <v>63</v>
      </c>
      <c r="C300" s="55" t="e">
        <f>VLOOKUP(Exam_05,AverageScores,b1_perception,FALSE)</f>
        <v>#DIV/0!</v>
      </c>
      <c r="D300" s="55" t="e">
        <f>VLOOKUP(Exam_05,AverageScores,b1_perception,FALSE)</f>
        <v>#DIV/0!</v>
      </c>
      <c r="E300" s="55" t="e">
        <f>VLOOKUP(Exam_05,AverageScores,b1_perception,FALSE)</f>
        <v>#DIV/0!</v>
      </c>
      <c r="F300" s="55" t="e">
        <f>VLOOKUP(Exam_05,AverageScores,b1_perception,FALSE)</f>
        <v>#DIV/0!</v>
      </c>
      <c r="G300" s="55" t="e">
        <f>VLOOKUP(Exam_05,AverageScores,b1_perception,FALSE)</f>
        <v>#DIV/0!</v>
      </c>
    </row>
    <row r="301" spans="2:7" ht="13.5" customHeight="1">
      <c r="B301" s="51" t="s">
        <v>69</v>
      </c>
      <c r="C301" s="55" t="e">
        <f>VLOOKUP(Exam_05,AverageScores,b1_descriptive,FALSE)</f>
        <v>#DIV/0!</v>
      </c>
      <c r="D301" s="55" t="e">
        <f>VLOOKUP(Exam_05,AverageScores,b1_descriptive,FALSE)</f>
        <v>#DIV/0!</v>
      </c>
      <c r="E301" s="55" t="e">
        <f>VLOOKUP(Exam_05,AverageScores,b1_descriptive,FALSE)</f>
        <v>#DIV/0!</v>
      </c>
      <c r="F301" s="55" t="e">
        <f>VLOOKUP(Exam_05,AverageScores,b1_descriptive,FALSE)</f>
        <v>#DIV/0!</v>
      </c>
      <c r="G301" s="55" t="e">
        <f>VLOOKUP(Exam_05,AverageScores,b1_descriptive,FALSE)</f>
        <v>#DIV/0!</v>
      </c>
    </row>
    <row r="302" spans="2:7" ht="13.5" customHeight="1">
      <c r="B302" s="51" t="s">
        <v>64</v>
      </c>
      <c r="C302" s="55" t="e">
        <f>VLOOKUP(Exam_05,AverageScores,b1_feedback,FALSE)</f>
        <v>#DIV/0!</v>
      </c>
      <c r="D302" s="55" t="e">
        <f>VLOOKUP(Exam_05,AverageScores,b1_feedback,FALSE)</f>
        <v>#DIV/0!</v>
      </c>
      <c r="E302" s="55" t="e">
        <f>VLOOKUP(Exam_05,AverageScores,b1_feedback,FALSE)</f>
        <v>#DIV/0!</v>
      </c>
      <c r="F302" s="55" t="e">
        <f>VLOOKUP(Exam_05,AverageScores,b1_feedback,FALSE)</f>
        <v>#DIV/0!</v>
      </c>
      <c r="G302" s="55" t="e">
        <f>VLOOKUP(Exam_05,AverageScores,b1_feedback,FALSE)</f>
        <v>#DIV/0!</v>
      </c>
    </row>
    <row r="303" spans="2:7" ht="13.5" customHeight="1">
      <c r="B303" s="51" t="s">
        <v>65</v>
      </c>
      <c r="C303" s="55" t="e">
        <f>VLOOKUP(Exam_05,AverageScores,b1_completeness,FALSE)</f>
        <v>#DIV/0!</v>
      </c>
      <c r="D303" s="55" t="e">
        <f>VLOOKUP(Exam_05,AverageScores,b1_completeness,FALSE)</f>
        <v>#DIV/0!</v>
      </c>
      <c r="E303" s="55" t="e">
        <f>VLOOKUP(Exam_05,AverageScores,b1_completeness,FALSE)</f>
        <v>#DIV/0!</v>
      </c>
      <c r="F303" s="55" t="e">
        <f>VLOOKUP(Exam_05,AverageScores,b1_completeness,FALSE)</f>
        <v>#DIV/0!</v>
      </c>
      <c r="G303" s="55" t="e">
        <f>VLOOKUP(Exam_05,AverageScores,b1_completeness,FALSE)</f>
        <v>#DIV/0!</v>
      </c>
    </row>
    <row r="304" spans="2:7" ht="13.5" customHeight="1">
      <c r="B304" s="51" t="s">
        <v>66</v>
      </c>
      <c r="C304" s="55">
        <f>VLOOKUP(Exam_05,ScoringAccuracyTable,b1_accuracy,FALSE)</f>
      </c>
      <c r="D304" s="55">
        <f>VLOOKUP(Exam_05,ScoringAccuracyTable,b1_accuracy,FALSE)</f>
      </c>
      <c r="E304" s="55">
        <f>VLOOKUP(Exam_05,ScoringAccuracyTable,b1_accuracy,FALSE)</f>
      </c>
      <c r="F304" s="55">
        <f>VLOOKUP(Exam_05,ScoringAccuracyTable,b1_accuracy,FALSE)</f>
      </c>
      <c r="G304" s="55">
        <f>VLOOKUP(Exam_05,ScoringAccuracyTable,b1_accuracy,FALSE)</f>
      </c>
    </row>
    <row r="305" spans="2:7" ht="13.5" customHeight="1">
      <c r="B305" s="241"/>
      <c r="C305" s="241"/>
      <c r="D305" s="241"/>
      <c r="E305" s="241"/>
      <c r="F305" s="241"/>
      <c r="G305" s="241"/>
    </row>
    <row r="306" spans="2:7" ht="13.5" customHeight="1">
      <c r="B306" s="52" t="s">
        <v>72</v>
      </c>
      <c r="C306" s="242" t="str">
        <f>BeerName2</f>
        <v>Style2</v>
      </c>
      <c r="D306" s="242"/>
      <c r="E306" s="242"/>
      <c r="F306" s="242"/>
      <c r="G306" s="242"/>
    </row>
    <row r="307" spans="2:7" ht="13.5" customHeight="1">
      <c r="B307" s="247"/>
      <c r="C307" s="247"/>
      <c r="D307" s="247"/>
      <c r="E307" s="247"/>
      <c r="F307" s="247"/>
      <c r="G307" s="247"/>
    </row>
    <row r="308" spans="2:7" ht="13.5" customHeight="1">
      <c r="B308" s="50" t="s">
        <v>68</v>
      </c>
      <c r="C308" s="56" t="s">
        <v>58</v>
      </c>
      <c r="D308" s="56" t="s">
        <v>59</v>
      </c>
      <c r="E308" s="56" t="s">
        <v>60</v>
      </c>
      <c r="F308" s="56" t="s">
        <v>61</v>
      </c>
      <c r="G308" s="56" t="s">
        <v>62</v>
      </c>
    </row>
    <row r="309" spans="2:7" ht="13.5" customHeight="1">
      <c r="B309" s="51" t="s">
        <v>63</v>
      </c>
      <c r="C309" s="55" t="e">
        <f>VLOOKUP(Exam_05,AverageScores,b2_perceptive,FALSE)</f>
        <v>#DIV/0!</v>
      </c>
      <c r="D309" s="55" t="e">
        <f>VLOOKUP(Exam_05,AverageScores,b2_perceptive,FALSE)</f>
        <v>#DIV/0!</v>
      </c>
      <c r="E309" s="55" t="e">
        <f>VLOOKUP(Exam_05,AverageScores,b2_perceptive,FALSE)</f>
        <v>#DIV/0!</v>
      </c>
      <c r="F309" s="55" t="e">
        <f>VLOOKUP(Exam_05,AverageScores,b2_perceptive,FALSE)</f>
        <v>#DIV/0!</v>
      </c>
      <c r="G309" s="55" t="e">
        <f>VLOOKUP(Exam_05,AverageScores,b2_perceptive,FALSE)</f>
        <v>#DIV/0!</v>
      </c>
    </row>
    <row r="310" spans="2:7" ht="13.5" customHeight="1">
      <c r="B310" s="51" t="s">
        <v>69</v>
      </c>
      <c r="C310" s="55" t="e">
        <f>VLOOKUP(Exam_05,AverageScores,b2_descriptive,FALSE)</f>
        <v>#DIV/0!</v>
      </c>
      <c r="D310" s="55" t="e">
        <f>VLOOKUP(Exam_05,AverageScores,b2_descriptive,FALSE)</f>
        <v>#DIV/0!</v>
      </c>
      <c r="E310" s="55" t="e">
        <f>VLOOKUP(Exam_05,AverageScores,b2_descriptive,FALSE)</f>
        <v>#DIV/0!</v>
      </c>
      <c r="F310" s="55" t="e">
        <f>VLOOKUP(Exam_05,AverageScores,b2_descriptive,FALSE)</f>
        <v>#DIV/0!</v>
      </c>
      <c r="G310" s="55" t="e">
        <f>VLOOKUP(Exam_05,AverageScores,b2_descriptive,FALSE)</f>
        <v>#DIV/0!</v>
      </c>
    </row>
    <row r="311" spans="2:7" ht="13.5" customHeight="1">
      <c r="B311" s="51" t="s">
        <v>64</v>
      </c>
      <c r="C311" s="55" t="e">
        <f>VLOOKUP(Exam_05,AverageScores,b2_feedback,FALSE)</f>
        <v>#DIV/0!</v>
      </c>
      <c r="D311" s="55" t="e">
        <f>VLOOKUP(Exam_05,AverageScores,b2_feedback,FALSE)</f>
        <v>#DIV/0!</v>
      </c>
      <c r="E311" s="55" t="e">
        <f>VLOOKUP(Exam_05,AverageScores,b2_feedback,FALSE)</f>
        <v>#DIV/0!</v>
      </c>
      <c r="F311" s="55" t="e">
        <f>VLOOKUP(Exam_05,AverageScores,b2_feedback,FALSE)</f>
        <v>#DIV/0!</v>
      </c>
      <c r="G311" s="55" t="e">
        <f>VLOOKUP(Exam_05,AverageScores,b2_feedback,FALSE)</f>
        <v>#DIV/0!</v>
      </c>
    </row>
    <row r="312" spans="2:7" ht="13.5" customHeight="1">
      <c r="B312" s="51" t="s">
        <v>65</v>
      </c>
      <c r="C312" s="55" t="e">
        <f>VLOOKUP(Exam_05,AverageScores,b2_completeness,FALSE)</f>
        <v>#DIV/0!</v>
      </c>
      <c r="D312" s="55" t="e">
        <f>VLOOKUP(Exam_05,AverageScores,b2_completeness,FALSE)</f>
        <v>#DIV/0!</v>
      </c>
      <c r="E312" s="55" t="e">
        <f>VLOOKUP(Exam_05,AverageScores,b2_completeness,FALSE)</f>
        <v>#DIV/0!</v>
      </c>
      <c r="F312" s="55" t="e">
        <f>VLOOKUP(Exam_05,AverageScores,b2_completeness,FALSE)</f>
        <v>#DIV/0!</v>
      </c>
      <c r="G312" s="55" t="e">
        <f>VLOOKUP(Exam_05,AverageScores,b2_completeness,FALSE)</f>
        <v>#DIV/0!</v>
      </c>
    </row>
    <row r="313" spans="2:7" ht="13.5" customHeight="1">
      <c r="B313" s="51" t="s">
        <v>66</v>
      </c>
      <c r="C313" s="55">
        <f>VLOOKUP(Exam_05,ScoringAccuracyTable,b2_accuracy,FALSE)</f>
      </c>
      <c r="D313" s="55">
        <f>VLOOKUP(Exam_05,ScoringAccuracyTable,b2_accuracy,FALSE)</f>
      </c>
      <c r="E313" s="55">
        <f>VLOOKUP(Exam_05,ScoringAccuracyTable,b2_accuracy,FALSE)</f>
      </c>
      <c r="F313" s="55">
        <f>VLOOKUP(Exam_05,ScoringAccuracyTable,b2_accuracy,FALSE)</f>
      </c>
      <c r="G313" s="55">
        <f>VLOOKUP(Exam_05,ScoringAccuracyTable,b2_accuracy,FALSE)</f>
      </c>
    </row>
    <row r="314" spans="2:7" ht="13.5" customHeight="1">
      <c r="B314" s="241"/>
      <c r="C314" s="241"/>
      <c r="D314" s="241"/>
      <c r="E314" s="241"/>
      <c r="F314" s="241"/>
      <c r="G314" s="241"/>
    </row>
    <row r="315" spans="2:7" ht="13.5" customHeight="1">
      <c r="B315" s="52" t="s">
        <v>76</v>
      </c>
      <c r="C315" s="242" t="str">
        <f>BeerName3</f>
        <v>Style3</v>
      </c>
      <c r="D315" s="242"/>
      <c r="E315" s="242"/>
      <c r="F315" s="242"/>
      <c r="G315" s="242"/>
    </row>
    <row r="316" spans="2:7" ht="13.5" customHeight="1">
      <c r="B316" s="247"/>
      <c r="C316" s="247"/>
      <c r="D316" s="247"/>
      <c r="E316" s="247"/>
      <c r="F316" s="247"/>
      <c r="G316" s="247"/>
    </row>
    <row r="317" spans="2:7" ht="13.5" customHeight="1">
      <c r="B317" s="50" t="s">
        <v>68</v>
      </c>
      <c r="C317" s="54" t="s">
        <v>58</v>
      </c>
      <c r="D317" s="54" t="s">
        <v>59</v>
      </c>
      <c r="E317" s="54" t="s">
        <v>60</v>
      </c>
      <c r="F317" s="54" t="s">
        <v>61</v>
      </c>
      <c r="G317" s="54" t="s">
        <v>62</v>
      </c>
    </row>
    <row r="318" spans="2:7" ht="13.5" customHeight="1">
      <c r="B318" s="51" t="s">
        <v>63</v>
      </c>
      <c r="C318" s="55" t="e">
        <f>VLOOKUP(Exam_05,AverageScores,b3_perception,FALSE)</f>
        <v>#DIV/0!</v>
      </c>
      <c r="D318" s="55" t="e">
        <f>VLOOKUP(Exam_05,AverageScores,b3_perception,FALSE)</f>
        <v>#DIV/0!</v>
      </c>
      <c r="E318" s="55" t="e">
        <f>VLOOKUP(Exam_05,AverageScores,b3_perception,FALSE)</f>
        <v>#DIV/0!</v>
      </c>
      <c r="F318" s="55" t="e">
        <f>VLOOKUP(Exam_05,AverageScores,b3_perception,FALSE)</f>
        <v>#DIV/0!</v>
      </c>
      <c r="G318" s="55" t="e">
        <f>VLOOKUP(Exam_05,AverageScores,b3_perception,FALSE)</f>
        <v>#DIV/0!</v>
      </c>
    </row>
    <row r="319" spans="2:7" ht="13.5" customHeight="1">
      <c r="B319" s="51" t="s">
        <v>69</v>
      </c>
      <c r="C319" s="55" t="e">
        <f>VLOOKUP(Exam_05,AverageScores,b3_descriptive,FALSE)</f>
        <v>#DIV/0!</v>
      </c>
      <c r="D319" s="55" t="e">
        <f>VLOOKUP(Exam_05,AverageScores,b3_descriptive,FALSE)</f>
        <v>#DIV/0!</v>
      </c>
      <c r="E319" s="55" t="e">
        <f>VLOOKUP(Exam_05,AverageScores,b3_descriptive,FALSE)</f>
        <v>#DIV/0!</v>
      </c>
      <c r="F319" s="55" t="e">
        <f>VLOOKUP(Exam_05,AverageScores,b3_descriptive,FALSE)</f>
        <v>#DIV/0!</v>
      </c>
      <c r="G319" s="55" t="e">
        <f>VLOOKUP(Exam_05,AverageScores,b3_descriptive,FALSE)</f>
        <v>#DIV/0!</v>
      </c>
    </row>
    <row r="320" spans="2:7" ht="13.5" customHeight="1">
      <c r="B320" s="51" t="s">
        <v>64</v>
      </c>
      <c r="C320" s="55" t="e">
        <f>VLOOKUP(Exam_05,AverageScores,b3_feedback,FALSE)</f>
        <v>#DIV/0!</v>
      </c>
      <c r="D320" s="55" t="e">
        <f>VLOOKUP(Exam_05,AverageScores,b3_feedback,FALSE)</f>
        <v>#DIV/0!</v>
      </c>
      <c r="E320" s="55" t="e">
        <f>VLOOKUP(Exam_05,AverageScores,b3_feedback,FALSE)</f>
        <v>#DIV/0!</v>
      </c>
      <c r="F320" s="55" t="e">
        <f>VLOOKUP(Exam_05,AverageScores,b3_feedback,FALSE)</f>
        <v>#DIV/0!</v>
      </c>
      <c r="G320" s="55" t="e">
        <f>VLOOKUP(Exam_05,AverageScores,b3_feedback,FALSE)</f>
        <v>#DIV/0!</v>
      </c>
    </row>
    <row r="321" spans="2:7" ht="13.5" customHeight="1">
      <c r="B321" s="51" t="s">
        <v>65</v>
      </c>
      <c r="C321" s="55" t="e">
        <f>VLOOKUP(Exam_05,AverageScores,b3_completeness,FALSE)</f>
        <v>#DIV/0!</v>
      </c>
      <c r="D321" s="55" t="e">
        <f>VLOOKUP(Exam_05,AverageScores,b3_completeness,FALSE)</f>
        <v>#DIV/0!</v>
      </c>
      <c r="E321" s="55" t="e">
        <f>VLOOKUP(Exam_05,AverageScores,b3_completeness,FALSE)</f>
        <v>#DIV/0!</v>
      </c>
      <c r="F321" s="55" t="e">
        <f>VLOOKUP(Exam_05,AverageScores,b3_completeness,FALSE)</f>
        <v>#DIV/0!</v>
      </c>
      <c r="G321" s="55" t="e">
        <f>VLOOKUP(Exam_05,AverageScores,b3_completeness,FALSE)</f>
        <v>#DIV/0!</v>
      </c>
    </row>
    <row r="322" spans="2:7" ht="13.5" customHeight="1">
      <c r="B322" s="51" t="s">
        <v>66</v>
      </c>
      <c r="C322" s="55">
        <f>VLOOKUP(Exam_05,ScoringAccuracyTable,b3_accuracy,FALSE)</f>
      </c>
      <c r="D322" s="55">
        <f>VLOOKUP(Exam_05,ScoringAccuracyTable,b3_accuracy,FALSE)</f>
      </c>
      <c r="E322" s="55">
        <f>VLOOKUP(Exam_05,ScoringAccuracyTable,b3_accuracy,FALSE)</f>
      </c>
      <c r="F322" s="55">
        <f>VLOOKUP(Exam_05,ScoringAccuracyTable,b3_accuracy,FALSE)</f>
      </c>
      <c r="G322" s="55">
        <f>VLOOKUP(Exam_05,ScoringAccuracyTable,b3_accuracy,FALSE)</f>
      </c>
    </row>
    <row r="323" spans="2:7" ht="13.5" customHeight="1">
      <c r="B323" s="241"/>
      <c r="C323" s="241"/>
      <c r="D323" s="241"/>
      <c r="E323" s="241"/>
      <c r="F323" s="241"/>
      <c r="G323" s="241"/>
    </row>
    <row r="324" spans="2:7" ht="13.5" customHeight="1">
      <c r="B324" s="52" t="s">
        <v>75</v>
      </c>
      <c r="C324" s="242" t="str">
        <f>BeerName4</f>
        <v>Style4</v>
      </c>
      <c r="D324" s="242"/>
      <c r="E324" s="242"/>
      <c r="F324" s="242"/>
      <c r="G324" s="242"/>
    </row>
    <row r="325" spans="2:7" ht="13.5" customHeight="1">
      <c r="B325" s="241"/>
      <c r="C325" s="241"/>
      <c r="D325" s="241"/>
      <c r="E325" s="241"/>
      <c r="F325" s="241"/>
      <c r="G325" s="241"/>
    </row>
    <row r="326" spans="2:7" ht="13.5" customHeight="1">
      <c r="B326" s="50" t="s">
        <v>68</v>
      </c>
      <c r="C326" s="54" t="s">
        <v>58</v>
      </c>
      <c r="D326" s="54" t="s">
        <v>59</v>
      </c>
      <c r="E326" s="54" t="s">
        <v>60</v>
      </c>
      <c r="F326" s="54" t="s">
        <v>61</v>
      </c>
      <c r="G326" s="54" t="s">
        <v>62</v>
      </c>
    </row>
    <row r="327" spans="2:7" ht="13.5" customHeight="1">
      <c r="B327" s="51" t="s">
        <v>63</v>
      </c>
      <c r="C327" s="55" t="e">
        <f>VLOOKUP(Exam_05,AverageScores,b4_perception,FALSE)</f>
        <v>#DIV/0!</v>
      </c>
      <c r="D327" s="55" t="e">
        <f>VLOOKUP(Exam_05,AverageScores,b4_perception,FALSE)</f>
        <v>#DIV/0!</v>
      </c>
      <c r="E327" s="55" t="e">
        <f>VLOOKUP(Exam_05,AverageScores,b4_perception,FALSE)</f>
        <v>#DIV/0!</v>
      </c>
      <c r="F327" s="55" t="e">
        <f>VLOOKUP(Exam_05,AverageScores,b4_perception,FALSE)</f>
        <v>#DIV/0!</v>
      </c>
      <c r="G327" s="55" t="e">
        <f>VLOOKUP(Exam_05,AverageScores,b4_perception,FALSE)</f>
        <v>#DIV/0!</v>
      </c>
    </row>
    <row r="328" spans="2:7" ht="13.5" customHeight="1">
      <c r="B328" s="51" t="s">
        <v>69</v>
      </c>
      <c r="C328" s="55" t="e">
        <f>VLOOKUP(Exam_05,AverageScores,b4_descriptive,FALSE)</f>
        <v>#DIV/0!</v>
      </c>
      <c r="D328" s="55" t="e">
        <f>VLOOKUP(Exam_05,AverageScores,b4_descriptive,FALSE)</f>
        <v>#DIV/0!</v>
      </c>
      <c r="E328" s="55" t="e">
        <f>VLOOKUP(Exam_05,AverageScores,b4_descriptive,FALSE)</f>
        <v>#DIV/0!</v>
      </c>
      <c r="F328" s="55" t="e">
        <f>VLOOKUP(Exam_05,AverageScores,b4_descriptive,FALSE)</f>
        <v>#DIV/0!</v>
      </c>
      <c r="G328" s="55" t="e">
        <f>VLOOKUP(Exam_05,AverageScores,b4_descriptive,FALSE)</f>
        <v>#DIV/0!</v>
      </c>
    </row>
    <row r="329" spans="2:7" ht="13.5" customHeight="1">
      <c r="B329" s="51" t="s">
        <v>64</v>
      </c>
      <c r="C329" s="55" t="e">
        <f>VLOOKUP(Exam_05,AverageScores,b4_feedback,FALSE)</f>
        <v>#DIV/0!</v>
      </c>
      <c r="D329" s="55" t="e">
        <f>VLOOKUP(Exam_05,AverageScores,b4_feedback,FALSE)</f>
        <v>#DIV/0!</v>
      </c>
      <c r="E329" s="55" t="e">
        <f>VLOOKUP(Exam_05,AverageScores,b4_feedback,FALSE)</f>
        <v>#DIV/0!</v>
      </c>
      <c r="F329" s="55" t="e">
        <f>VLOOKUP(Exam_05,AverageScores,b4_feedback,FALSE)</f>
        <v>#DIV/0!</v>
      </c>
      <c r="G329" s="55" t="e">
        <f>VLOOKUP(Exam_05,AverageScores,b4_feedback,FALSE)</f>
        <v>#DIV/0!</v>
      </c>
    </row>
    <row r="330" spans="2:7" ht="13.5" customHeight="1">
      <c r="B330" s="51" t="s">
        <v>65</v>
      </c>
      <c r="C330" s="55" t="e">
        <f>VLOOKUP(Exam_05,AverageScores,b4_completeness,FALSE)</f>
        <v>#DIV/0!</v>
      </c>
      <c r="D330" s="55" t="e">
        <f>VLOOKUP(Exam_05,AverageScores,b4_completeness,FALSE)</f>
        <v>#DIV/0!</v>
      </c>
      <c r="E330" s="55" t="e">
        <f>VLOOKUP(Exam_05,AverageScores,b4_completeness,FALSE)</f>
        <v>#DIV/0!</v>
      </c>
      <c r="F330" s="55" t="e">
        <f>VLOOKUP(Exam_05,AverageScores,b4_completeness,FALSE)</f>
        <v>#DIV/0!</v>
      </c>
      <c r="G330" s="55" t="e">
        <f>VLOOKUP(Exam_05,AverageScores,b4_completeness,FALSE)</f>
        <v>#DIV/0!</v>
      </c>
    </row>
    <row r="331" spans="2:7" ht="13.5" customHeight="1">
      <c r="B331" s="51" t="s">
        <v>66</v>
      </c>
      <c r="C331" s="55">
        <f>VLOOKUP(Exam_05,ScoringAccuracyTable,b4_accuracy,FALSE)</f>
      </c>
      <c r="D331" s="55">
        <f>VLOOKUP(Exam_05,ScoringAccuracyTable,b4_accuracy,FALSE)</f>
      </c>
      <c r="E331" s="55">
        <f>VLOOKUP(Exam_05,ScoringAccuracyTable,b4_accuracy,FALSE)</f>
      </c>
      <c r="F331" s="55">
        <f>VLOOKUP(Exam_05,ScoringAccuracyTable,b4_accuracy,FALSE)</f>
      </c>
      <c r="G331" s="55">
        <f>VLOOKUP(Exam_05,ScoringAccuracyTable,b4_accuracy,FALSE)</f>
      </c>
    </row>
    <row r="332" spans="2:7" ht="13.5" customHeight="1">
      <c r="B332" s="241"/>
      <c r="C332" s="241"/>
      <c r="D332" s="241"/>
      <c r="E332" s="241"/>
      <c r="F332" s="241"/>
      <c r="G332" s="241"/>
    </row>
    <row r="337" spans="2:7" ht="13.5" customHeight="1">
      <c r="B337" s="52" t="s">
        <v>74</v>
      </c>
      <c r="C337" s="242" t="str">
        <f>BeerName5</f>
        <v>Style5</v>
      </c>
      <c r="D337" s="242"/>
      <c r="E337" s="242"/>
      <c r="F337" s="242"/>
      <c r="G337" s="242"/>
    </row>
    <row r="338" spans="2:7" ht="13.5" customHeight="1">
      <c r="B338" s="241"/>
      <c r="C338" s="241"/>
      <c r="D338" s="241"/>
      <c r="E338" s="241"/>
      <c r="F338" s="241"/>
      <c r="G338" s="241"/>
    </row>
    <row r="339" spans="2:7" ht="13.5" customHeight="1">
      <c r="B339" s="50" t="s">
        <v>68</v>
      </c>
      <c r="C339" s="54" t="s">
        <v>58</v>
      </c>
      <c r="D339" s="54" t="s">
        <v>59</v>
      </c>
      <c r="E339" s="54" t="s">
        <v>60</v>
      </c>
      <c r="F339" s="54" t="s">
        <v>61</v>
      </c>
      <c r="G339" s="54" t="s">
        <v>62</v>
      </c>
    </row>
    <row r="340" spans="2:7" ht="13.5" customHeight="1">
      <c r="B340" s="51" t="s">
        <v>63</v>
      </c>
      <c r="C340" s="55" t="e">
        <f>VLOOKUP(Exam_05,AverageScores,b5_perception,FALSE)</f>
        <v>#DIV/0!</v>
      </c>
      <c r="D340" s="55" t="e">
        <f>VLOOKUP(Exam_05,AverageScores,b5_perception,FALSE)</f>
        <v>#DIV/0!</v>
      </c>
      <c r="E340" s="55" t="e">
        <f>VLOOKUP(Exam_05,AverageScores,b5_perception,FALSE)</f>
        <v>#DIV/0!</v>
      </c>
      <c r="F340" s="55" t="e">
        <f>VLOOKUP(Exam_05,AverageScores,b5_perception,FALSE)</f>
        <v>#DIV/0!</v>
      </c>
      <c r="G340" s="55" t="e">
        <f>VLOOKUP(Exam_05,AverageScores,b5_perception,FALSE)</f>
        <v>#DIV/0!</v>
      </c>
    </row>
    <row r="341" spans="2:7" ht="13.5" customHeight="1">
      <c r="B341" s="51" t="s">
        <v>69</v>
      </c>
      <c r="C341" s="55" t="e">
        <f>VLOOKUP(Exam_05,AverageScores,b5_descriptive,FALSE)</f>
        <v>#DIV/0!</v>
      </c>
      <c r="D341" s="55" t="e">
        <f>VLOOKUP(Exam_05,AverageScores,b5_descriptive,FALSE)</f>
        <v>#DIV/0!</v>
      </c>
      <c r="E341" s="55" t="e">
        <f>VLOOKUP(Exam_05,AverageScores,b5_descriptive,FALSE)</f>
        <v>#DIV/0!</v>
      </c>
      <c r="F341" s="55" t="e">
        <f>VLOOKUP(Exam_05,AverageScores,b5_descriptive,FALSE)</f>
        <v>#DIV/0!</v>
      </c>
      <c r="G341" s="55" t="e">
        <f>VLOOKUP(Exam_05,AverageScores,b5_descriptive,FALSE)</f>
        <v>#DIV/0!</v>
      </c>
    </row>
    <row r="342" spans="2:7" ht="13.5" customHeight="1">
      <c r="B342" s="51" t="s">
        <v>64</v>
      </c>
      <c r="C342" s="55" t="e">
        <f>VLOOKUP(Exam_05,AverageScores,b5_feedback,FALSE)</f>
        <v>#DIV/0!</v>
      </c>
      <c r="D342" s="55" t="e">
        <f>VLOOKUP(Exam_05,AverageScores,b5_feedback,FALSE)</f>
        <v>#DIV/0!</v>
      </c>
      <c r="E342" s="55" t="e">
        <f>VLOOKUP(Exam_05,AverageScores,b5_feedback,FALSE)</f>
        <v>#DIV/0!</v>
      </c>
      <c r="F342" s="55" t="e">
        <f>VLOOKUP(Exam_05,AverageScores,b5_feedback,FALSE)</f>
        <v>#DIV/0!</v>
      </c>
      <c r="G342" s="55" t="e">
        <f>VLOOKUP(Exam_05,AverageScores,b5_feedback,FALSE)</f>
        <v>#DIV/0!</v>
      </c>
    </row>
    <row r="343" spans="2:7" ht="13.5" customHeight="1">
      <c r="B343" s="51" t="s">
        <v>65</v>
      </c>
      <c r="C343" s="55" t="e">
        <f>VLOOKUP(Exam_05,AverageScores,b5_completeness,FALSE)</f>
        <v>#DIV/0!</v>
      </c>
      <c r="D343" s="55" t="e">
        <f>VLOOKUP(Exam_05,AverageScores,b5_completeness,FALSE)</f>
        <v>#DIV/0!</v>
      </c>
      <c r="E343" s="55" t="e">
        <f>VLOOKUP(Exam_05,AverageScores,b5_completeness,FALSE)</f>
        <v>#DIV/0!</v>
      </c>
      <c r="F343" s="55" t="e">
        <f>VLOOKUP(Exam_05,AverageScores,b5_completeness,FALSE)</f>
        <v>#DIV/0!</v>
      </c>
      <c r="G343" s="55" t="e">
        <f>VLOOKUP(Exam_05,AverageScores,b5_completeness,FALSE)</f>
        <v>#DIV/0!</v>
      </c>
    </row>
    <row r="344" spans="2:7" ht="13.5" customHeight="1">
      <c r="B344" s="51" t="s">
        <v>66</v>
      </c>
      <c r="C344" s="55">
        <f>VLOOKUP(Exam_05,ScoringAccuracyTable,b5_accuracy,FALSE)</f>
      </c>
      <c r="D344" s="55">
        <f>VLOOKUP(Exam_05,ScoringAccuracyTable,b5_accuracy,FALSE)</f>
      </c>
      <c r="E344" s="55">
        <f>VLOOKUP(Exam_05,ScoringAccuracyTable,b5_accuracy,FALSE)</f>
      </c>
      <c r="F344" s="55">
        <f>VLOOKUP(Exam_05,ScoringAccuracyTable,b5_accuracy,FALSE)</f>
      </c>
      <c r="G344" s="55">
        <f>VLOOKUP(Exam_05,ScoringAccuracyTable,b5_accuracy,FALSE)</f>
      </c>
    </row>
    <row r="345" spans="2:7" ht="13.5" customHeight="1">
      <c r="B345" s="241"/>
      <c r="C345" s="241"/>
      <c r="D345" s="241"/>
      <c r="E345" s="241"/>
      <c r="F345" s="241"/>
      <c r="G345" s="241"/>
    </row>
    <row r="346" spans="2:7" ht="13.5" customHeight="1">
      <c r="B346" s="52" t="s">
        <v>73</v>
      </c>
      <c r="C346" s="242" t="str">
        <f>BeerName6</f>
        <v>Style6</v>
      </c>
      <c r="D346" s="242"/>
      <c r="E346" s="242"/>
      <c r="F346" s="242"/>
      <c r="G346" s="242"/>
    </row>
    <row r="347" spans="2:7" ht="13.5" customHeight="1">
      <c r="B347" s="241"/>
      <c r="C347" s="241"/>
      <c r="D347" s="241"/>
      <c r="E347" s="241"/>
      <c r="F347" s="241"/>
      <c r="G347" s="241"/>
    </row>
    <row r="348" spans="2:7" ht="13.5" customHeight="1">
      <c r="B348" s="50" t="s">
        <v>68</v>
      </c>
      <c r="C348" s="54" t="s">
        <v>58</v>
      </c>
      <c r="D348" s="54" t="s">
        <v>59</v>
      </c>
      <c r="E348" s="54" t="s">
        <v>60</v>
      </c>
      <c r="F348" s="54" t="s">
        <v>61</v>
      </c>
      <c r="G348" s="54" t="s">
        <v>62</v>
      </c>
    </row>
    <row r="349" spans="2:7" ht="13.5" customHeight="1">
      <c r="B349" s="51" t="s">
        <v>63</v>
      </c>
      <c r="C349" s="55" t="e">
        <f>VLOOKUP(Exam_05,AverageScores,b6_perception,FALSE)</f>
        <v>#DIV/0!</v>
      </c>
      <c r="D349" s="55" t="e">
        <f>VLOOKUP(Exam_05,AverageScores,b6_perception,FALSE)</f>
        <v>#DIV/0!</v>
      </c>
      <c r="E349" s="55" t="e">
        <f>VLOOKUP(Exam_05,AverageScores,b6_perception,FALSE)</f>
        <v>#DIV/0!</v>
      </c>
      <c r="F349" s="55" t="e">
        <f>VLOOKUP(Exam_05,AverageScores,b6_perception,FALSE)</f>
        <v>#DIV/0!</v>
      </c>
      <c r="G349" s="55" t="e">
        <f>VLOOKUP(Exam_05,AverageScores,b6_perception,FALSE)</f>
        <v>#DIV/0!</v>
      </c>
    </row>
    <row r="350" spans="2:7" ht="13.5" customHeight="1">
      <c r="B350" s="51" t="s">
        <v>69</v>
      </c>
      <c r="C350" s="55" t="e">
        <f>VLOOKUP(Exam_05,AverageScores,b6_descriptive,FALSE)</f>
        <v>#DIV/0!</v>
      </c>
      <c r="D350" s="55" t="e">
        <f>VLOOKUP(Exam_05,AverageScores,b6_descriptive,FALSE)</f>
        <v>#DIV/0!</v>
      </c>
      <c r="E350" s="55" t="e">
        <f>VLOOKUP(Exam_05,AverageScores,b6_descriptive,FALSE)</f>
        <v>#DIV/0!</v>
      </c>
      <c r="F350" s="55" t="e">
        <f>VLOOKUP(Exam_05,AverageScores,b6_descriptive,FALSE)</f>
        <v>#DIV/0!</v>
      </c>
      <c r="G350" s="55" t="e">
        <f>VLOOKUP(Exam_05,AverageScores,b6_descriptive,FALSE)</f>
        <v>#DIV/0!</v>
      </c>
    </row>
    <row r="351" spans="2:7" ht="13.5" customHeight="1">
      <c r="B351" s="51" t="s">
        <v>64</v>
      </c>
      <c r="C351" s="55" t="e">
        <f>VLOOKUP(Exam_05,AverageScores,b6_feedback,FALSE)</f>
        <v>#DIV/0!</v>
      </c>
      <c r="D351" s="55" t="e">
        <f>VLOOKUP(Exam_05,AverageScores,b6_feedback,FALSE)</f>
        <v>#DIV/0!</v>
      </c>
      <c r="E351" s="55" t="e">
        <f>VLOOKUP(Exam_05,AverageScores,b6_feedback,FALSE)</f>
        <v>#DIV/0!</v>
      </c>
      <c r="F351" s="55" t="e">
        <f>VLOOKUP(Exam_05,AverageScores,b6_feedback,FALSE)</f>
        <v>#DIV/0!</v>
      </c>
      <c r="G351" s="55" t="e">
        <f>VLOOKUP(Exam_05,AverageScores,b6_feedback,FALSE)</f>
        <v>#DIV/0!</v>
      </c>
    </row>
    <row r="352" spans="2:7" ht="13.5" customHeight="1">
      <c r="B352" s="51" t="s">
        <v>65</v>
      </c>
      <c r="C352" s="55" t="e">
        <f>VLOOKUP(Exam_05,AverageScores,b6_completeness,FALSE)</f>
        <v>#DIV/0!</v>
      </c>
      <c r="D352" s="55" t="e">
        <f>VLOOKUP(Exam_05,AverageScores,b6_completeness,FALSE)</f>
        <v>#DIV/0!</v>
      </c>
      <c r="E352" s="55" t="e">
        <f>VLOOKUP(Exam_05,AverageScores,b6_completeness,FALSE)</f>
        <v>#DIV/0!</v>
      </c>
      <c r="F352" s="55" t="e">
        <f>VLOOKUP(Exam_05,AverageScores,b6_completeness,FALSE)</f>
        <v>#DIV/0!</v>
      </c>
      <c r="G352" s="55" t="e">
        <f>VLOOKUP(Exam_05,AverageScores,b6_completeness,FALSE)</f>
        <v>#DIV/0!</v>
      </c>
    </row>
    <row r="353" spans="2:7" ht="13.5" customHeight="1">
      <c r="B353" s="51" t="s">
        <v>66</v>
      </c>
      <c r="C353" s="55">
        <f>VLOOKUP(Exam_05,ScoringAccuracyTable,b6_accuracy,FALSE)</f>
      </c>
      <c r="D353" s="55">
        <f>VLOOKUP(Exam_05,ScoringAccuracyTable,b6_accuracy,FALSE)</f>
      </c>
      <c r="E353" s="55">
        <f>VLOOKUP(Exam_05,ScoringAccuracyTable,b6_accuracy,FALSE)</f>
      </c>
      <c r="F353" s="55">
        <f>VLOOKUP(Exam_05,ScoringAccuracyTable,b6_accuracy,FALSE)</f>
      </c>
      <c r="G353" s="55">
        <f>VLOOKUP(Exam_05,ScoringAccuracyTable,b6_accuracy,FALSE)</f>
      </c>
    </row>
    <row r="356" spans="1:7" ht="13.5" customHeight="1">
      <c r="A356" s="131" t="s">
        <v>18</v>
      </c>
      <c r="B356" s="243" t="s">
        <v>70</v>
      </c>
      <c r="C356" s="243"/>
      <c r="D356" s="243"/>
      <c r="E356" s="243"/>
      <c r="F356" s="243"/>
      <c r="G356" s="243"/>
    </row>
    <row r="357" spans="1:7" ht="13.5" customHeight="1">
      <c r="A357" s="132">
        <f>Exam_06</f>
        <v>6</v>
      </c>
      <c r="B357" s="244"/>
      <c r="C357" s="244"/>
      <c r="D357" s="244"/>
      <c r="E357" s="244"/>
      <c r="F357" s="244"/>
      <c r="G357" s="244"/>
    </row>
    <row r="358" spans="2:7" ht="13.5" customHeight="1">
      <c r="B358" s="50" t="s">
        <v>68</v>
      </c>
      <c r="C358" s="54" t="s">
        <v>58</v>
      </c>
      <c r="D358" s="54" t="s">
        <v>59</v>
      </c>
      <c r="E358" s="54" t="s">
        <v>60</v>
      </c>
      <c r="F358" s="54" t="s">
        <v>61</v>
      </c>
      <c r="G358" s="54" t="s">
        <v>62</v>
      </c>
    </row>
    <row r="359" spans="2:7" ht="13.5" customHeight="1">
      <c r="B359" s="51" t="s">
        <v>63</v>
      </c>
      <c r="C359" s="55" t="e">
        <f>0.2*AVERAGE(VLOOKUP(Exam_06,Sum_Accuracy,9,FALSE),VLOOKUP(Exam_06,Sum_Accuracy,10,FALSE))</f>
        <v>#VALUE!</v>
      </c>
      <c r="D359" s="55" t="e">
        <f>0.2*AVERAGE(VLOOKUP(Exam_06,Sum_Accuracy,9,FALSE),VLOOKUP(Exam_06,Sum_Accuracy,10,FALSE))</f>
        <v>#VALUE!</v>
      </c>
      <c r="E359" s="55" t="e">
        <f>0.2*AVERAGE(VLOOKUP(Exam_06,Sum_Accuracy,9,FALSE),VLOOKUP(Exam_06,Sum_Accuracy,10,FALSE))</f>
        <v>#VALUE!</v>
      </c>
      <c r="F359" s="55" t="e">
        <f>0.2*AVERAGE(VLOOKUP(Exam_06,Sum_Accuracy,9,FALSE),VLOOKUP(Exam_06,Sum_Accuracy,10,FALSE))</f>
        <v>#VALUE!</v>
      </c>
      <c r="G359" s="55" t="e">
        <f>0.2*AVERAGE(VLOOKUP(Exam_06,Sum_Accuracy,9,FALSE),VLOOKUP(Exam_06,Sum_Accuracy,10,FALSE))</f>
        <v>#VALUE!</v>
      </c>
    </row>
    <row r="360" spans="2:7" ht="13.5" customHeight="1">
      <c r="B360" s="51" t="s">
        <v>69</v>
      </c>
      <c r="C360" s="55" t="e">
        <f>0.2*AVERAGE(VLOOKUP(Exam_06,Sum_Accuracy,11,FALSE),VLOOKUP(Exam_06,Sum_Accuracy,12,FALSE))</f>
        <v>#VALUE!</v>
      </c>
      <c r="D360" s="55" t="e">
        <f>0.2*AVERAGE(VLOOKUP(Exam_06,Sum_Accuracy,11,FALSE),VLOOKUP(Exam_06,Sum_Accuracy,12,FALSE))</f>
        <v>#VALUE!</v>
      </c>
      <c r="E360" s="55" t="e">
        <f>0.2*AVERAGE(VLOOKUP(Exam_06,Sum_Accuracy,11,FALSE),VLOOKUP(Exam_06,Sum_Accuracy,12,FALSE))</f>
        <v>#VALUE!</v>
      </c>
      <c r="F360" s="55" t="e">
        <f>0.2*AVERAGE(VLOOKUP(Exam_06,Sum_Accuracy,11,FALSE),VLOOKUP(Exam_06,Sum_Accuracy,12,FALSE))</f>
        <v>#VALUE!</v>
      </c>
      <c r="G360" s="55" t="e">
        <f>0.2*AVERAGE(VLOOKUP(Exam_06,Sum_Accuracy,11,FALSE),VLOOKUP(Exam_06,Sum_Accuracy,12,FALSE))</f>
        <v>#VALUE!</v>
      </c>
    </row>
    <row r="361" spans="2:7" ht="13.5" customHeight="1">
      <c r="B361" s="51" t="s">
        <v>64</v>
      </c>
      <c r="C361" s="55" t="e">
        <f>0.2*AVERAGE(VLOOKUP(Exam_06,Sum_Accuracy,13,FALSE),VLOOKUP(Exam_06,Sum_Accuracy,14,FALSE))</f>
        <v>#VALUE!</v>
      </c>
      <c r="D361" s="55" t="e">
        <f>0.2*AVERAGE(VLOOKUP(Exam_06,Sum_Accuracy,13,FALSE),VLOOKUP(Exam_06,Sum_Accuracy,14,FALSE))</f>
        <v>#VALUE!</v>
      </c>
      <c r="E361" s="55" t="e">
        <f>0.2*AVERAGE(VLOOKUP(Exam_06,Sum_Accuracy,13,FALSE),VLOOKUP(Exam_06,Sum_Accuracy,14,FALSE))</f>
        <v>#VALUE!</v>
      </c>
      <c r="F361" s="55" t="e">
        <f>0.2*AVERAGE(VLOOKUP(Exam_06,Sum_Accuracy,13,FALSE),VLOOKUP(Exam_06,Sum_Accuracy,14,FALSE))</f>
        <v>#VALUE!</v>
      </c>
      <c r="G361" s="55" t="e">
        <f>0.2*AVERAGE(VLOOKUP(Exam_06,Sum_Accuracy,13,FALSE),VLOOKUP(Exam_06,Sum_Accuracy,14,FALSE))</f>
        <v>#VALUE!</v>
      </c>
    </row>
    <row r="362" spans="2:7" ht="13.5" customHeight="1">
      <c r="B362" s="51" t="s">
        <v>65</v>
      </c>
      <c r="C362" s="55" t="e">
        <f>0.2*AVERAGE(VLOOKUP(Exam_06,Sum_Accuracy,15,FALSE),VLOOKUP(Exam_06,Sum_Accuracy,16,FALSE))</f>
        <v>#VALUE!</v>
      </c>
      <c r="D362" s="55" t="e">
        <f>0.2*AVERAGE(VLOOKUP(Exam_06,Sum_Accuracy,15,FALSE),VLOOKUP(Exam_06,Sum_Accuracy,16,FALSE))</f>
        <v>#VALUE!</v>
      </c>
      <c r="E362" s="55" t="e">
        <f>0.2*AVERAGE(VLOOKUP(Exam_06,Sum_Accuracy,15,FALSE),VLOOKUP(Exam_06,Sum_Accuracy,16,FALSE))</f>
        <v>#VALUE!</v>
      </c>
      <c r="F362" s="55" t="e">
        <f>0.2*AVERAGE(VLOOKUP(Exam_06,Sum_Accuracy,15,FALSE),VLOOKUP(Exam_06,Sum_Accuracy,16,FALSE))</f>
        <v>#VALUE!</v>
      </c>
      <c r="G362" s="55" t="e">
        <f>0.2*AVERAGE(VLOOKUP(Exam_06,Sum_Accuracy,15,FALSE),VLOOKUP(Exam_06,Sum_Accuracy,16,FALSE))</f>
        <v>#VALUE!</v>
      </c>
    </row>
    <row r="363" spans="2:7" ht="13.5" customHeight="1">
      <c r="B363" s="51" t="s">
        <v>66</v>
      </c>
      <c r="C363" s="55" t="e">
        <f>VLOOKUP(Exam_06,Sum_Accuracy,8,FALSE)/5</f>
        <v>#VALUE!</v>
      </c>
      <c r="D363" s="55" t="e">
        <f>VLOOKUP(Exam_06,Sum_Accuracy,8,FALSE)/5</f>
        <v>#VALUE!</v>
      </c>
      <c r="E363" s="55" t="e">
        <f>VLOOKUP(Exam_06,Sum_Accuracy,8,FALSE)/5</f>
        <v>#VALUE!</v>
      </c>
      <c r="F363" s="55" t="e">
        <f>VLOOKUP(Exam_06,Sum_Accuracy,8,FALSE)/5</f>
        <v>#VALUE!</v>
      </c>
      <c r="G363" s="55" t="e">
        <f>VLOOKUP(Exam_06,Sum_Accuracy,8,FALSE)/5</f>
        <v>#VALUE!</v>
      </c>
    </row>
    <row r="364" spans="2:7" ht="13.5" customHeight="1">
      <c r="B364" s="241"/>
      <c r="C364" s="241"/>
      <c r="D364" s="241"/>
      <c r="E364" s="241"/>
      <c r="F364" s="241"/>
      <c r="G364" s="241"/>
    </row>
    <row r="366" spans="2:7" ht="13.5" customHeight="1">
      <c r="B366" s="245" t="s">
        <v>67</v>
      </c>
      <c r="C366" s="245"/>
      <c r="D366" s="245"/>
      <c r="E366" s="245"/>
      <c r="F366" s="245"/>
      <c r="G366" s="245"/>
    </row>
    <row r="367" spans="2:7" ht="13.5" customHeight="1">
      <c r="B367" s="246"/>
      <c r="C367" s="246"/>
      <c r="D367" s="246"/>
      <c r="E367" s="246"/>
      <c r="F367" s="246"/>
      <c r="G367" s="246"/>
    </row>
    <row r="368" spans="2:7" ht="13.5" customHeight="1">
      <c r="B368" s="52" t="s">
        <v>71</v>
      </c>
      <c r="C368" s="242" t="str">
        <f>BeerName1</f>
        <v>Style1</v>
      </c>
      <c r="D368" s="242"/>
      <c r="E368" s="242"/>
      <c r="F368" s="242"/>
      <c r="G368" s="242"/>
    </row>
    <row r="369" spans="2:7" ht="13.5" customHeight="1">
      <c r="B369" s="241"/>
      <c r="C369" s="241"/>
      <c r="D369" s="241"/>
      <c r="E369" s="241"/>
      <c r="F369" s="241"/>
      <c r="G369" s="241"/>
    </row>
    <row r="370" spans="2:7" ht="13.5" customHeight="1">
      <c r="B370" s="50" t="s">
        <v>68</v>
      </c>
      <c r="C370" s="54" t="s">
        <v>58</v>
      </c>
      <c r="D370" s="54" t="s">
        <v>59</v>
      </c>
      <c r="E370" s="54" t="s">
        <v>60</v>
      </c>
      <c r="F370" s="54" t="s">
        <v>61</v>
      </c>
      <c r="G370" s="54" t="s">
        <v>62</v>
      </c>
    </row>
    <row r="371" spans="2:7" ht="13.5" customHeight="1">
      <c r="B371" s="51" t="s">
        <v>63</v>
      </c>
      <c r="C371" s="55" t="e">
        <f>VLOOKUP(Exam_06,AverageScores,b1_perception,FALSE)</f>
        <v>#DIV/0!</v>
      </c>
      <c r="D371" s="55" t="e">
        <f>VLOOKUP(Exam_06,AverageScores,b1_perception,FALSE)</f>
        <v>#DIV/0!</v>
      </c>
      <c r="E371" s="55" t="e">
        <f>VLOOKUP(Exam_06,AverageScores,b1_perception,FALSE)</f>
        <v>#DIV/0!</v>
      </c>
      <c r="F371" s="55" t="e">
        <f>VLOOKUP(Exam_06,AverageScores,b1_perception,FALSE)</f>
        <v>#DIV/0!</v>
      </c>
      <c r="G371" s="55" t="e">
        <f>VLOOKUP(Exam_06,AverageScores,b1_perception,FALSE)</f>
        <v>#DIV/0!</v>
      </c>
    </row>
    <row r="372" spans="2:7" ht="13.5" customHeight="1">
      <c r="B372" s="51" t="s">
        <v>69</v>
      </c>
      <c r="C372" s="55" t="e">
        <f>VLOOKUP(Exam_06,AverageScores,b1_descriptive,FALSE)</f>
        <v>#DIV/0!</v>
      </c>
      <c r="D372" s="55" t="e">
        <f>VLOOKUP(Exam_06,AverageScores,b1_descriptive,FALSE)</f>
        <v>#DIV/0!</v>
      </c>
      <c r="E372" s="55" t="e">
        <f>VLOOKUP(Exam_06,AverageScores,b1_descriptive,FALSE)</f>
        <v>#DIV/0!</v>
      </c>
      <c r="F372" s="55" t="e">
        <f>VLOOKUP(Exam_06,AverageScores,b1_descriptive,FALSE)</f>
        <v>#DIV/0!</v>
      </c>
      <c r="G372" s="55" t="e">
        <f>VLOOKUP(Exam_06,AverageScores,b1_descriptive,FALSE)</f>
        <v>#DIV/0!</v>
      </c>
    </row>
    <row r="373" spans="2:7" ht="13.5" customHeight="1">
      <c r="B373" s="51" t="s">
        <v>64</v>
      </c>
      <c r="C373" s="55" t="e">
        <f>VLOOKUP(Exam_06,AverageScores,b1_feedback,FALSE)</f>
        <v>#DIV/0!</v>
      </c>
      <c r="D373" s="55" t="e">
        <f>VLOOKUP(Exam_06,AverageScores,b1_feedback,FALSE)</f>
        <v>#DIV/0!</v>
      </c>
      <c r="E373" s="55" t="e">
        <f>VLOOKUP(Exam_06,AverageScores,b1_feedback,FALSE)</f>
        <v>#DIV/0!</v>
      </c>
      <c r="F373" s="55" t="e">
        <f>VLOOKUP(Exam_06,AverageScores,b1_feedback,FALSE)</f>
        <v>#DIV/0!</v>
      </c>
      <c r="G373" s="55" t="e">
        <f>VLOOKUP(Exam_06,AverageScores,b1_feedback,FALSE)</f>
        <v>#DIV/0!</v>
      </c>
    </row>
    <row r="374" spans="2:7" ht="13.5" customHeight="1">
      <c r="B374" s="51" t="s">
        <v>65</v>
      </c>
      <c r="C374" s="55" t="e">
        <f>VLOOKUP(Exam_06,AverageScores,b1_completeness,FALSE)</f>
        <v>#DIV/0!</v>
      </c>
      <c r="D374" s="55" t="e">
        <f>VLOOKUP(Exam_06,AverageScores,b1_completeness,FALSE)</f>
        <v>#DIV/0!</v>
      </c>
      <c r="E374" s="55" t="e">
        <f>VLOOKUP(Exam_06,AverageScores,b1_completeness,FALSE)</f>
        <v>#DIV/0!</v>
      </c>
      <c r="F374" s="55" t="e">
        <f>VLOOKUP(Exam_06,AverageScores,b1_completeness,FALSE)</f>
        <v>#DIV/0!</v>
      </c>
      <c r="G374" s="55" t="e">
        <f>VLOOKUP(Exam_06,AverageScores,b1_completeness,FALSE)</f>
        <v>#DIV/0!</v>
      </c>
    </row>
    <row r="375" spans="2:7" ht="13.5" customHeight="1">
      <c r="B375" s="51" t="s">
        <v>66</v>
      </c>
      <c r="C375" s="55">
        <f>VLOOKUP(Exam_06,ScoringAccuracyTable,b1_accuracy,FALSE)</f>
      </c>
      <c r="D375" s="55">
        <f>VLOOKUP(Exam_06,ScoringAccuracyTable,b1_accuracy,FALSE)</f>
      </c>
      <c r="E375" s="55">
        <f>VLOOKUP(Exam_06,ScoringAccuracyTable,b1_accuracy,FALSE)</f>
      </c>
      <c r="F375" s="55">
        <f>VLOOKUP(Exam_06,ScoringAccuracyTable,b1_accuracy,FALSE)</f>
      </c>
      <c r="G375" s="55">
        <f>VLOOKUP(Exam_06,ScoringAccuracyTable,b1_accuracy,FALSE)</f>
      </c>
    </row>
    <row r="376" spans="2:7" ht="13.5" customHeight="1">
      <c r="B376" s="241"/>
      <c r="C376" s="241"/>
      <c r="D376" s="241"/>
      <c r="E376" s="241"/>
      <c r="F376" s="241"/>
      <c r="G376" s="241"/>
    </row>
    <row r="377" spans="2:7" ht="13.5" customHeight="1">
      <c r="B377" s="52" t="s">
        <v>72</v>
      </c>
      <c r="C377" s="242" t="str">
        <f>BeerName2</f>
        <v>Style2</v>
      </c>
      <c r="D377" s="242"/>
      <c r="E377" s="242"/>
      <c r="F377" s="242"/>
      <c r="G377" s="242"/>
    </row>
    <row r="378" spans="2:7" ht="13.5" customHeight="1">
      <c r="B378" s="247"/>
      <c r="C378" s="247"/>
      <c r="D378" s="247"/>
      <c r="E378" s="247"/>
      <c r="F378" s="247"/>
      <c r="G378" s="247"/>
    </row>
    <row r="379" spans="2:7" ht="13.5" customHeight="1">
      <c r="B379" s="50" t="s">
        <v>68</v>
      </c>
      <c r="C379" s="56" t="s">
        <v>58</v>
      </c>
      <c r="D379" s="56" t="s">
        <v>59</v>
      </c>
      <c r="E379" s="56" t="s">
        <v>60</v>
      </c>
      <c r="F379" s="56" t="s">
        <v>61</v>
      </c>
      <c r="G379" s="56" t="s">
        <v>62</v>
      </c>
    </row>
    <row r="380" spans="2:7" ht="13.5" customHeight="1">
      <c r="B380" s="51" t="s">
        <v>63</v>
      </c>
      <c r="C380" s="55" t="e">
        <f>VLOOKUP(Exam_06,AverageScores,b2_perceptive,FALSE)</f>
        <v>#DIV/0!</v>
      </c>
      <c r="D380" s="55" t="e">
        <f>VLOOKUP(Exam_06,AverageScores,b2_perceptive,FALSE)</f>
        <v>#DIV/0!</v>
      </c>
      <c r="E380" s="55" t="e">
        <f>VLOOKUP(Exam_06,AverageScores,b2_perceptive,FALSE)</f>
        <v>#DIV/0!</v>
      </c>
      <c r="F380" s="55" t="e">
        <f>VLOOKUP(Exam_06,AverageScores,b2_perceptive,FALSE)</f>
        <v>#DIV/0!</v>
      </c>
      <c r="G380" s="55" t="e">
        <f>VLOOKUP(Exam_06,AverageScores,b2_perceptive,FALSE)</f>
        <v>#DIV/0!</v>
      </c>
    </row>
    <row r="381" spans="2:7" ht="13.5" customHeight="1">
      <c r="B381" s="51" t="s">
        <v>69</v>
      </c>
      <c r="C381" s="55" t="e">
        <f>VLOOKUP(Exam_06,AverageScores,b2_descriptive,FALSE)</f>
        <v>#DIV/0!</v>
      </c>
      <c r="D381" s="55" t="e">
        <f>VLOOKUP(Exam_06,AverageScores,b2_descriptive,FALSE)</f>
        <v>#DIV/0!</v>
      </c>
      <c r="E381" s="55" t="e">
        <f>VLOOKUP(Exam_06,AverageScores,b2_descriptive,FALSE)</f>
        <v>#DIV/0!</v>
      </c>
      <c r="F381" s="55" t="e">
        <f>VLOOKUP(Exam_06,AverageScores,b2_descriptive,FALSE)</f>
        <v>#DIV/0!</v>
      </c>
      <c r="G381" s="55" t="e">
        <f>VLOOKUP(Exam_06,AverageScores,b2_descriptive,FALSE)</f>
        <v>#DIV/0!</v>
      </c>
    </row>
    <row r="382" spans="2:7" ht="13.5" customHeight="1">
      <c r="B382" s="51" t="s">
        <v>64</v>
      </c>
      <c r="C382" s="55" t="e">
        <f>VLOOKUP(Exam_06,AverageScores,b2_feedback,FALSE)</f>
        <v>#DIV/0!</v>
      </c>
      <c r="D382" s="55" t="e">
        <f>VLOOKUP(Exam_06,AverageScores,b2_feedback,FALSE)</f>
        <v>#DIV/0!</v>
      </c>
      <c r="E382" s="55" t="e">
        <f>VLOOKUP(Exam_06,AverageScores,b2_feedback,FALSE)</f>
        <v>#DIV/0!</v>
      </c>
      <c r="F382" s="55" t="e">
        <f>VLOOKUP(Exam_06,AverageScores,b2_feedback,FALSE)</f>
        <v>#DIV/0!</v>
      </c>
      <c r="G382" s="55" t="e">
        <f>VLOOKUP(Exam_06,AverageScores,b2_feedback,FALSE)</f>
        <v>#DIV/0!</v>
      </c>
    </row>
    <row r="383" spans="2:7" ht="13.5" customHeight="1">
      <c r="B383" s="51" t="s">
        <v>65</v>
      </c>
      <c r="C383" s="55" t="e">
        <f>VLOOKUP(Exam_06,AverageScores,b2_completeness,FALSE)</f>
        <v>#DIV/0!</v>
      </c>
      <c r="D383" s="55" t="e">
        <f>VLOOKUP(Exam_06,AverageScores,b2_completeness,FALSE)</f>
        <v>#DIV/0!</v>
      </c>
      <c r="E383" s="55" t="e">
        <f>VLOOKUP(Exam_06,AverageScores,b2_completeness,FALSE)</f>
        <v>#DIV/0!</v>
      </c>
      <c r="F383" s="55" t="e">
        <f>VLOOKUP(Exam_06,AverageScores,b2_completeness,FALSE)</f>
        <v>#DIV/0!</v>
      </c>
      <c r="G383" s="55" t="e">
        <f>VLOOKUP(Exam_06,AverageScores,b2_completeness,FALSE)</f>
        <v>#DIV/0!</v>
      </c>
    </row>
    <row r="384" spans="2:7" ht="13.5" customHeight="1">
      <c r="B384" s="51" t="s">
        <v>66</v>
      </c>
      <c r="C384" s="55">
        <f>VLOOKUP(Exam_06,ScoringAccuracyTable,b2_accuracy,FALSE)</f>
      </c>
      <c r="D384" s="55">
        <f>VLOOKUP(Exam_06,ScoringAccuracyTable,b2_accuracy,FALSE)</f>
      </c>
      <c r="E384" s="55">
        <f>VLOOKUP(Exam_06,ScoringAccuracyTable,b2_accuracy,FALSE)</f>
      </c>
      <c r="F384" s="55">
        <f>VLOOKUP(Exam_06,ScoringAccuracyTable,b2_accuracy,FALSE)</f>
      </c>
      <c r="G384" s="55">
        <f>VLOOKUP(Exam_06,ScoringAccuracyTable,b2_accuracy,FALSE)</f>
      </c>
    </row>
    <row r="385" spans="2:7" ht="13.5" customHeight="1">
      <c r="B385" s="241"/>
      <c r="C385" s="241"/>
      <c r="D385" s="241"/>
      <c r="E385" s="241"/>
      <c r="F385" s="241"/>
      <c r="G385" s="241"/>
    </row>
    <row r="386" spans="2:7" ht="13.5" customHeight="1">
      <c r="B386" s="52" t="s">
        <v>76</v>
      </c>
      <c r="C386" s="242" t="str">
        <f>BeerName3</f>
        <v>Style3</v>
      </c>
      <c r="D386" s="242"/>
      <c r="E386" s="242"/>
      <c r="F386" s="242"/>
      <c r="G386" s="242"/>
    </row>
    <row r="387" spans="2:7" ht="13.5" customHeight="1">
      <c r="B387" s="247"/>
      <c r="C387" s="247"/>
      <c r="D387" s="247"/>
      <c r="E387" s="247"/>
      <c r="F387" s="247"/>
      <c r="G387" s="247"/>
    </row>
    <row r="388" spans="2:7" ht="13.5" customHeight="1">
      <c r="B388" s="50" t="s">
        <v>68</v>
      </c>
      <c r="C388" s="54" t="s">
        <v>58</v>
      </c>
      <c r="D388" s="54" t="s">
        <v>59</v>
      </c>
      <c r="E388" s="54" t="s">
        <v>60</v>
      </c>
      <c r="F388" s="54" t="s">
        <v>61</v>
      </c>
      <c r="G388" s="54" t="s">
        <v>62</v>
      </c>
    </row>
    <row r="389" spans="2:7" ht="13.5" customHeight="1">
      <c r="B389" s="51" t="s">
        <v>63</v>
      </c>
      <c r="C389" s="55" t="e">
        <f>VLOOKUP(Exam_06,AverageScores,b3_perception,FALSE)</f>
        <v>#DIV/0!</v>
      </c>
      <c r="D389" s="55" t="e">
        <f>VLOOKUP(Exam_06,AverageScores,b3_perception,FALSE)</f>
        <v>#DIV/0!</v>
      </c>
      <c r="E389" s="55" t="e">
        <f>VLOOKUP(Exam_06,AverageScores,b3_perception,FALSE)</f>
        <v>#DIV/0!</v>
      </c>
      <c r="F389" s="55" t="e">
        <f>VLOOKUP(Exam_06,AverageScores,b3_perception,FALSE)</f>
        <v>#DIV/0!</v>
      </c>
      <c r="G389" s="55" t="e">
        <f>VLOOKUP(Exam_06,AverageScores,b3_perception,FALSE)</f>
        <v>#DIV/0!</v>
      </c>
    </row>
    <row r="390" spans="2:7" ht="13.5" customHeight="1">
      <c r="B390" s="51" t="s">
        <v>69</v>
      </c>
      <c r="C390" s="55" t="e">
        <f>VLOOKUP(Exam_06,AverageScores,b3_descriptive,FALSE)</f>
        <v>#DIV/0!</v>
      </c>
      <c r="D390" s="55" t="e">
        <f>VLOOKUP(Exam_06,AverageScores,b3_descriptive,FALSE)</f>
        <v>#DIV/0!</v>
      </c>
      <c r="E390" s="55" t="e">
        <f>VLOOKUP(Exam_06,AverageScores,b3_descriptive,FALSE)</f>
        <v>#DIV/0!</v>
      </c>
      <c r="F390" s="55" t="e">
        <f>VLOOKUP(Exam_06,AverageScores,b3_descriptive,FALSE)</f>
        <v>#DIV/0!</v>
      </c>
      <c r="G390" s="55" t="e">
        <f>VLOOKUP(Exam_06,AverageScores,b3_descriptive,FALSE)</f>
        <v>#DIV/0!</v>
      </c>
    </row>
    <row r="391" spans="2:7" ht="13.5" customHeight="1">
      <c r="B391" s="51" t="s">
        <v>64</v>
      </c>
      <c r="C391" s="55" t="e">
        <f>VLOOKUP(Exam_06,AverageScores,b3_feedback,FALSE)</f>
        <v>#DIV/0!</v>
      </c>
      <c r="D391" s="55" t="e">
        <f>VLOOKUP(Exam_06,AverageScores,b3_feedback,FALSE)</f>
        <v>#DIV/0!</v>
      </c>
      <c r="E391" s="55" t="e">
        <f>VLOOKUP(Exam_06,AverageScores,b3_feedback,FALSE)</f>
        <v>#DIV/0!</v>
      </c>
      <c r="F391" s="55" t="e">
        <f>VLOOKUP(Exam_06,AverageScores,b3_feedback,FALSE)</f>
        <v>#DIV/0!</v>
      </c>
      <c r="G391" s="55" t="e">
        <f>VLOOKUP(Exam_06,AverageScores,b3_feedback,FALSE)</f>
        <v>#DIV/0!</v>
      </c>
    </row>
    <row r="392" spans="2:7" ht="13.5" customHeight="1">
      <c r="B392" s="51" t="s">
        <v>65</v>
      </c>
      <c r="C392" s="55" t="e">
        <f>VLOOKUP(Exam_06,AverageScores,b3_completeness,FALSE)</f>
        <v>#DIV/0!</v>
      </c>
      <c r="D392" s="55" t="e">
        <f>VLOOKUP(Exam_06,AverageScores,b3_completeness,FALSE)</f>
        <v>#DIV/0!</v>
      </c>
      <c r="E392" s="55" t="e">
        <f>VLOOKUP(Exam_06,AverageScores,b3_completeness,FALSE)</f>
        <v>#DIV/0!</v>
      </c>
      <c r="F392" s="55" t="e">
        <f>VLOOKUP(Exam_06,AverageScores,b3_completeness,FALSE)</f>
        <v>#DIV/0!</v>
      </c>
      <c r="G392" s="55" t="e">
        <f>VLOOKUP(Exam_06,AverageScores,b3_completeness,FALSE)</f>
        <v>#DIV/0!</v>
      </c>
    </row>
    <row r="393" spans="2:7" ht="13.5" customHeight="1">
      <c r="B393" s="51" t="s">
        <v>66</v>
      </c>
      <c r="C393" s="55">
        <f>VLOOKUP(Exam_06,ScoringAccuracyTable,b3_accuracy,FALSE)</f>
      </c>
      <c r="D393" s="55">
        <f>VLOOKUP(Exam_06,ScoringAccuracyTable,b3_accuracy,FALSE)</f>
      </c>
      <c r="E393" s="55">
        <f>VLOOKUP(Exam_06,ScoringAccuracyTable,b3_accuracy,FALSE)</f>
      </c>
      <c r="F393" s="55">
        <f>VLOOKUP(Exam_06,ScoringAccuracyTable,b3_accuracy,FALSE)</f>
      </c>
      <c r="G393" s="55">
        <f>VLOOKUP(Exam_06,ScoringAccuracyTable,b3_accuracy,FALSE)</f>
      </c>
    </row>
    <row r="394" spans="2:7" ht="13.5" customHeight="1">
      <c r="B394" s="241"/>
      <c r="C394" s="241"/>
      <c r="D394" s="241"/>
      <c r="E394" s="241"/>
      <c r="F394" s="241"/>
      <c r="G394" s="241"/>
    </row>
    <row r="395" spans="2:7" ht="13.5" customHeight="1">
      <c r="B395" s="52" t="s">
        <v>75</v>
      </c>
      <c r="C395" s="242" t="str">
        <f>BeerName4</f>
        <v>Style4</v>
      </c>
      <c r="D395" s="242"/>
      <c r="E395" s="242"/>
      <c r="F395" s="242"/>
      <c r="G395" s="242"/>
    </row>
    <row r="396" spans="2:7" ht="13.5" customHeight="1">
      <c r="B396" s="241"/>
      <c r="C396" s="241"/>
      <c r="D396" s="241"/>
      <c r="E396" s="241"/>
      <c r="F396" s="241"/>
      <c r="G396" s="241"/>
    </row>
    <row r="397" spans="2:7" ht="13.5" customHeight="1">
      <c r="B397" s="50" t="s">
        <v>68</v>
      </c>
      <c r="C397" s="54" t="s">
        <v>58</v>
      </c>
      <c r="D397" s="54" t="s">
        <v>59</v>
      </c>
      <c r="E397" s="54" t="s">
        <v>60</v>
      </c>
      <c r="F397" s="54" t="s">
        <v>61</v>
      </c>
      <c r="G397" s="54" t="s">
        <v>62</v>
      </c>
    </row>
    <row r="398" spans="2:7" ht="13.5" customHeight="1">
      <c r="B398" s="51" t="s">
        <v>63</v>
      </c>
      <c r="C398" s="55" t="e">
        <f>VLOOKUP(Exam_06,AverageScores,b4_perception,FALSE)</f>
        <v>#DIV/0!</v>
      </c>
      <c r="D398" s="55" t="e">
        <f>VLOOKUP(Exam_06,AverageScores,b4_perception,FALSE)</f>
        <v>#DIV/0!</v>
      </c>
      <c r="E398" s="55" t="e">
        <f>VLOOKUP(Exam_06,AverageScores,b4_perception,FALSE)</f>
        <v>#DIV/0!</v>
      </c>
      <c r="F398" s="55" t="e">
        <f>VLOOKUP(Exam_06,AverageScores,b4_perception,FALSE)</f>
        <v>#DIV/0!</v>
      </c>
      <c r="G398" s="55" t="e">
        <f>VLOOKUP(Exam_06,AverageScores,b4_perception,FALSE)</f>
        <v>#DIV/0!</v>
      </c>
    </row>
    <row r="399" spans="2:7" ht="13.5" customHeight="1">
      <c r="B399" s="51" t="s">
        <v>69</v>
      </c>
      <c r="C399" s="55" t="e">
        <f>VLOOKUP(Exam_06,AverageScores,b4_descriptive,FALSE)</f>
        <v>#DIV/0!</v>
      </c>
      <c r="D399" s="55" t="e">
        <f>VLOOKUP(Exam_06,AverageScores,b4_descriptive,FALSE)</f>
        <v>#DIV/0!</v>
      </c>
      <c r="E399" s="55" t="e">
        <f>VLOOKUP(Exam_06,AverageScores,b4_descriptive,FALSE)</f>
        <v>#DIV/0!</v>
      </c>
      <c r="F399" s="55" t="e">
        <f>VLOOKUP(Exam_06,AverageScores,b4_descriptive,FALSE)</f>
        <v>#DIV/0!</v>
      </c>
      <c r="G399" s="55" t="e">
        <f>VLOOKUP(Exam_06,AverageScores,b4_descriptive,FALSE)</f>
        <v>#DIV/0!</v>
      </c>
    </row>
    <row r="400" spans="2:7" ht="13.5" customHeight="1">
      <c r="B400" s="51" t="s">
        <v>64</v>
      </c>
      <c r="C400" s="55" t="e">
        <f>VLOOKUP(Exam_06,AverageScores,b4_feedback,FALSE)</f>
        <v>#DIV/0!</v>
      </c>
      <c r="D400" s="55" t="e">
        <f>VLOOKUP(Exam_06,AverageScores,b4_feedback,FALSE)</f>
        <v>#DIV/0!</v>
      </c>
      <c r="E400" s="55" t="e">
        <f>VLOOKUP(Exam_06,AverageScores,b4_feedback,FALSE)</f>
        <v>#DIV/0!</v>
      </c>
      <c r="F400" s="55" t="e">
        <f>VLOOKUP(Exam_06,AverageScores,b4_feedback,FALSE)</f>
        <v>#DIV/0!</v>
      </c>
      <c r="G400" s="55" t="e">
        <f>VLOOKUP(Exam_06,AverageScores,b4_feedback,FALSE)</f>
        <v>#DIV/0!</v>
      </c>
    </row>
    <row r="401" spans="2:7" ht="13.5" customHeight="1">
      <c r="B401" s="51" t="s">
        <v>65</v>
      </c>
      <c r="C401" s="55" t="e">
        <f>VLOOKUP(Exam_06,AverageScores,b4_completeness,FALSE)</f>
        <v>#DIV/0!</v>
      </c>
      <c r="D401" s="55" t="e">
        <f>VLOOKUP(Exam_06,AverageScores,b4_completeness,FALSE)</f>
        <v>#DIV/0!</v>
      </c>
      <c r="E401" s="55" t="e">
        <f>VLOOKUP(Exam_06,AverageScores,b4_completeness,FALSE)</f>
        <v>#DIV/0!</v>
      </c>
      <c r="F401" s="55" t="e">
        <f>VLOOKUP(Exam_06,AverageScores,b4_completeness,FALSE)</f>
        <v>#DIV/0!</v>
      </c>
      <c r="G401" s="55" t="e">
        <f>VLOOKUP(Exam_06,AverageScores,b4_completeness,FALSE)</f>
        <v>#DIV/0!</v>
      </c>
    </row>
    <row r="402" spans="2:7" ht="13.5" customHeight="1">
      <c r="B402" s="51" t="s">
        <v>66</v>
      </c>
      <c r="C402" s="55">
        <f>VLOOKUP(Exam_06,ScoringAccuracyTable,b4_accuracy,FALSE)</f>
      </c>
      <c r="D402" s="55">
        <f>VLOOKUP(Exam_06,ScoringAccuracyTable,b4_accuracy,FALSE)</f>
      </c>
      <c r="E402" s="55">
        <f>VLOOKUP(Exam_06,ScoringAccuracyTable,b4_accuracy,FALSE)</f>
      </c>
      <c r="F402" s="55">
        <f>VLOOKUP(Exam_06,ScoringAccuracyTable,b4_accuracy,FALSE)</f>
      </c>
      <c r="G402" s="55">
        <f>VLOOKUP(Exam_06,ScoringAccuracyTable,b4_accuracy,FALSE)</f>
      </c>
    </row>
    <row r="403" spans="2:7" ht="13.5" customHeight="1">
      <c r="B403" s="241"/>
      <c r="C403" s="241"/>
      <c r="D403" s="241"/>
      <c r="E403" s="241"/>
      <c r="F403" s="241"/>
      <c r="G403" s="241"/>
    </row>
    <row r="408" spans="2:7" ht="13.5" customHeight="1">
      <c r="B408" s="52" t="s">
        <v>74</v>
      </c>
      <c r="C408" s="242" t="str">
        <f>BeerName5</f>
        <v>Style5</v>
      </c>
      <c r="D408" s="242"/>
      <c r="E408" s="242"/>
      <c r="F408" s="242"/>
      <c r="G408" s="242"/>
    </row>
    <row r="409" spans="2:7" ht="13.5" customHeight="1">
      <c r="B409" s="241"/>
      <c r="C409" s="241"/>
      <c r="D409" s="241"/>
      <c r="E409" s="241"/>
      <c r="F409" s="241"/>
      <c r="G409" s="241"/>
    </row>
    <row r="410" spans="2:7" ht="13.5" customHeight="1">
      <c r="B410" s="50" t="s">
        <v>68</v>
      </c>
      <c r="C410" s="54" t="s">
        <v>58</v>
      </c>
      <c r="D410" s="54" t="s">
        <v>59</v>
      </c>
      <c r="E410" s="54" t="s">
        <v>60</v>
      </c>
      <c r="F410" s="54" t="s">
        <v>61</v>
      </c>
      <c r="G410" s="54" t="s">
        <v>62</v>
      </c>
    </row>
    <row r="411" spans="2:7" ht="13.5" customHeight="1">
      <c r="B411" s="51" t="s">
        <v>63</v>
      </c>
      <c r="C411" s="55" t="e">
        <f>VLOOKUP(Exam_06,AverageScores,b5_perception,FALSE)</f>
        <v>#DIV/0!</v>
      </c>
      <c r="D411" s="55" t="e">
        <f>VLOOKUP(Exam_06,AverageScores,b5_perception,FALSE)</f>
        <v>#DIV/0!</v>
      </c>
      <c r="E411" s="55" t="e">
        <f>VLOOKUP(Exam_06,AverageScores,b5_perception,FALSE)</f>
        <v>#DIV/0!</v>
      </c>
      <c r="F411" s="55" t="e">
        <f>VLOOKUP(Exam_06,AverageScores,b5_perception,FALSE)</f>
        <v>#DIV/0!</v>
      </c>
      <c r="G411" s="55" t="e">
        <f>VLOOKUP(Exam_06,AverageScores,b5_perception,FALSE)</f>
        <v>#DIV/0!</v>
      </c>
    </row>
    <row r="412" spans="2:7" ht="13.5" customHeight="1">
      <c r="B412" s="51" t="s">
        <v>69</v>
      </c>
      <c r="C412" s="55" t="e">
        <f>VLOOKUP(Exam_06,AverageScores,b5_descriptive,FALSE)</f>
        <v>#DIV/0!</v>
      </c>
      <c r="D412" s="55" t="e">
        <f>VLOOKUP(Exam_06,AverageScores,b5_descriptive,FALSE)</f>
        <v>#DIV/0!</v>
      </c>
      <c r="E412" s="55" t="e">
        <f>VLOOKUP(Exam_06,AverageScores,b5_descriptive,FALSE)</f>
        <v>#DIV/0!</v>
      </c>
      <c r="F412" s="55" t="e">
        <f>VLOOKUP(Exam_06,AverageScores,b5_descriptive,FALSE)</f>
        <v>#DIV/0!</v>
      </c>
      <c r="G412" s="55" t="e">
        <f>VLOOKUP(Exam_06,AverageScores,b5_descriptive,FALSE)</f>
        <v>#DIV/0!</v>
      </c>
    </row>
    <row r="413" spans="2:7" ht="13.5" customHeight="1">
      <c r="B413" s="51" t="s">
        <v>64</v>
      </c>
      <c r="C413" s="55" t="e">
        <f>VLOOKUP(Exam_06,AverageScores,b5_feedback,FALSE)</f>
        <v>#DIV/0!</v>
      </c>
      <c r="D413" s="55" t="e">
        <f>VLOOKUP(Exam_06,AverageScores,b5_feedback,FALSE)</f>
        <v>#DIV/0!</v>
      </c>
      <c r="E413" s="55" t="e">
        <f>VLOOKUP(Exam_06,AverageScores,b5_feedback,FALSE)</f>
        <v>#DIV/0!</v>
      </c>
      <c r="F413" s="55" t="e">
        <f>VLOOKUP(Exam_06,AverageScores,b5_feedback,FALSE)</f>
        <v>#DIV/0!</v>
      </c>
      <c r="G413" s="55" t="e">
        <f>VLOOKUP(Exam_06,AverageScores,b5_feedback,FALSE)</f>
        <v>#DIV/0!</v>
      </c>
    </row>
    <row r="414" spans="2:7" ht="13.5" customHeight="1">
      <c r="B414" s="51" t="s">
        <v>65</v>
      </c>
      <c r="C414" s="55" t="e">
        <f>VLOOKUP(Exam_06,AverageScores,b5_completeness,FALSE)</f>
        <v>#DIV/0!</v>
      </c>
      <c r="D414" s="55" t="e">
        <f>VLOOKUP(Exam_06,AverageScores,b5_completeness,FALSE)</f>
        <v>#DIV/0!</v>
      </c>
      <c r="E414" s="55" t="e">
        <f>VLOOKUP(Exam_06,AverageScores,b5_completeness,FALSE)</f>
        <v>#DIV/0!</v>
      </c>
      <c r="F414" s="55" t="e">
        <f>VLOOKUP(Exam_06,AverageScores,b5_completeness,FALSE)</f>
        <v>#DIV/0!</v>
      </c>
      <c r="G414" s="55" t="e">
        <f>VLOOKUP(Exam_06,AverageScores,b5_completeness,FALSE)</f>
        <v>#DIV/0!</v>
      </c>
    </row>
    <row r="415" spans="2:7" ht="13.5" customHeight="1">
      <c r="B415" s="51" t="s">
        <v>66</v>
      </c>
      <c r="C415" s="55">
        <f>VLOOKUP(Exam_06,ScoringAccuracyTable,b5_accuracy,FALSE)</f>
      </c>
      <c r="D415" s="55">
        <f>VLOOKUP(Exam_06,ScoringAccuracyTable,b5_accuracy,FALSE)</f>
      </c>
      <c r="E415" s="55">
        <f>VLOOKUP(Exam_06,ScoringAccuracyTable,b5_accuracy,FALSE)</f>
      </c>
      <c r="F415" s="55">
        <f>VLOOKUP(Exam_06,ScoringAccuracyTable,b5_accuracy,FALSE)</f>
      </c>
      <c r="G415" s="55">
        <f>VLOOKUP(Exam_06,ScoringAccuracyTable,b5_accuracy,FALSE)</f>
      </c>
    </row>
    <row r="416" spans="2:7" ht="13.5" customHeight="1">
      <c r="B416" s="241"/>
      <c r="C416" s="241"/>
      <c r="D416" s="241"/>
      <c r="E416" s="241"/>
      <c r="F416" s="241"/>
      <c r="G416" s="241"/>
    </row>
    <row r="417" spans="2:7" ht="13.5" customHeight="1">
      <c r="B417" s="52" t="s">
        <v>73</v>
      </c>
      <c r="C417" s="242" t="str">
        <f>BeerName6</f>
        <v>Style6</v>
      </c>
      <c r="D417" s="242"/>
      <c r="E417" s="242"/>
      <c r="F417" s="242"/>
      <c r="G417" s="242"/>
    </row>
    <row r="418" spans="2:7" ht="13.5" customHeight="1">
      <c r="B418" s="241"/>
      <c r="C418" s="241"/>
      <c r="D418" s="241"/>
      <c r="E418" s="241"/>
      <c r="F418" s="241"/>
      <c r="G418" s="241"/>
    </row>
    <row r="419" spans="2:7" ht="13.5" customHeight="1">
      <c r="B419" s="50" t="s">
        <v>68</v>
      </c>
      <c r="C419" s="54" t="s">
        <v>58</v>
      </c>
      <c r="D419" s="54" t="s">
        <v>59</v>
      </c>
      <c r="E419" s="54" t="s">
        <v>60</v>
      </c>
      <c r="F419" s="54" t="s">
        <v>61</v>
      </c>
      <c r="G419" s="54" t="s">
        <v>62</v>
      </c>
    </row>
    <row r="420" spans="2:7" ht="13.5" customHeight="1">
      <c r="B420" s="51" t="s">
        <v>63</v>
      </c>
      <c r="C420" s="55" t="e">
        <f>VLOOKUP(Exam_06,AverageScores,b6_perception,FALSE)</f>
        <v>#DIV/0!</v>
      </c>
      <c r="D420" s="55" t="e">
        <f>VLOOKUP(Exam_06,AverageScores,b6_perception,FALSE)</f>
        <v>#DIV/0!</v>
      </c>
      <c r="E420" s="55" t="e">
        <f>VLOOKUP(Exam_06,AverageScores,b6_perception,FALSE)</f>
        <v>#DIV/0!</v>
      </c>
      <c r="F420" s="55" t="e">
        <f>VLOOKUP(Exam_06,AverageScores,b6_perception,FALSE)</f>
        <v>#DIV/0!</v>
      </c>
      <c r="G420" s="55" t="e">
        <f>VLOOKUP(Exam_06,AverageScores,b6_perception,FALSE)</f>
        <v>#DIV/0!</v>
      </c>
    </row>
    <row r="421" spans="2:7" ht="13.5" customHeight="1">
      <c r="B421" s="51" t="s">
        <v>69</v>
      </c>
      <c r="C421" s="55" t="e">
        <f>VLOOKUP(Exam_06,AverageScores,b6_descriptive,FALSE)</f>
        <v>#DIV/0!</v>
      </c>
      <c r="D421" s="55" t="e">
        <f>VLOOKUP(Exam_06,AverageScores,b6_descriptive,FALSE)</f>
        <v>#DIV/0!</v>
      </c>
      <c r="E421" s="55" t="e">
        <f>VLOOKUP(Exam_06,AverageScores,b6_descriptive,FALSE)</f>
        <v>#DIV/0!</v>
      </c>
      <c r="F421" s="55" t="e">
        <f>VLOOKUP(Exam_06,AverageScores,b6_descriptive,FALSE)</f>
        <v>#DIV/0!</v>
      </c>
      <c r="G421" s="55" t="e">
        <f>VLOOKUP(Exam_06,AverageScores,b6_descriptive,FALSE)</f>
        <v>#DIV/0!</v>
      </c>
    </row>
    <row r="422" spans="2:7" ht="13.5" customHeight="1">
      <c r="B422" s="51" t="s">
        <v>64</v>
      </c>
      <c r="C422" s="55" t="e">
        <f>VLOOKUP(Exam_06,AverageScores,b6_feedback,FALSE)</f>
        <v>#DIV/0!</v>
      </c>
      <c r="D422" s="55" t="e">
        <f>VLOOKUP(Exam_06,AverageScores,b6_feedback,FALSE)</f>
        <v>#DIV/0!</v>
      </c>
      <c r="E422" s="55" t="e">
        <f>VLOOKUP(Exam_06,AverageScores,b6_feedback,FALSE)</f>
        <v>#DIV/0!</v>
      </c>
      <c r="F422" s="55" t="e">
        <f>VLOOKUP(Exam_06,AverageScores,b6_feedback,FALSE)</f>
        <v>#DIV/0!</v>
      </c>
      <c r="G422" s="55" t="e">
        <f>VLOOKUP(Exam_06,AverageScores,b6_feedback,FALSE)</f>
        <v>#DIV/0!</v>
      </c>
    </row>
    <row r="423" spans="2:7" ht="13.5" customHeight="1">
      <c r="B423" s="51" t="s">
        <v>65</v>
      </c>
      <c r="C423" s="55" t="e">
        <f>VLOOKUP(Exam_06,AverageScores,b6_completeness,FALSE)</f>
        <v>#DIV/0!</v>
      </c>
      <c r="D423" s="55" t="e">
        <f>VLOOKUP(Exam_06,AverageScores,b6_completeness,FALSE)</f>
        <v>#DIV/0!</v>
      </c>
      <c r="E423" s="55" t="e">
        <f>VLOOKUP(Exam_06,AverageScores,b6_completeness,FALSE)</f>
        <v>#DIV/0!</v>
      </c>
      <c r="F423" s="55" t="e">
        <f>VLOOKUP(Exam_06,AverageScores,b6_completeness,FALSE)</f>
        <v>#DIV/0!</v>
      </c>
      <c r="G423" s="55" t="e">
        <f>VLOOKUP(Exam_06,AverageScores,b6_completeness,FALSE)</f>
        <v>#DIV/0!</v>
      </c>
    </row>
    <row r="424" spans="2:7" ht="13.5" customHeight="1">
      <c r="B424" s="51" t="s">
        <v>66</v>
      </c>
      <c r="C424" s="55">
        <f>VLOOKUP(Exam_06,ScoringAccuracyTable,b6_accuracy,FALSE)</f>
      </c>
      <c r="D424" s="55">
        <f>VLOOKUP(Exam_06,ScoringAccuracyTable,b6_accuracy,FALSE)</f>
      </c>
      <c r="E424" s="55">
        <f>VLOOKUP(Exam_06,ScoringAccuracyTable,b6_accuracy,FALSE)</f>
      </c>
      <c r="F424" s="55">
        <f>VLOOKUP(Exam_06,ScoringAccuracyTable,b6_accuracy,FALSE)</f>
      </c>
      <c r="G424" s="55">
        <f>VLOOKUP(Exam_06,ScoringAccuracyTable,b6_accuracy,FALSE)</f>
      </c>
    </row>
    <row r="427" spans="1:7" ht="13.5" customHeight="1">
      <c r="A427" s="131" t="s">
        <v>18</v>
      </c>
      <c r="B427" s="243" t="s">
        <v>70</v>
      </c>
      <c r="C427" s="243"/>
      <c r="D427" s="243"/>
      <c r="E427" s="243"/>
      <c r="F427" s="243"/>
      <c r="G427" s="243"/>
    </row>
    <row r="428" spans="1:7" ht="13.5" customHeight="1">
      <c r="A428" s="132">
        <f>Exam_07</f>
        <v>7</v>
      </c>
      <c r="B428" s="244"/>
      <c r="C428" s="244"/>
      <c r="D428" s="244"/>
      <c r="E428" s="244"/>
      <c r="F428" s="244"/>
      <c r="G428" s="244"/>
    </row>
    <row r="429" spans="2:7" ht="13.5" customHeight="1">
      <c r="B429" s="50" t="s">
        <v>68</v>
      </c>
      <c r="C429" s="54" t="s">
        <v>58</v>
      </c>
      <c r="D429" s="54" t="s">
        <v>59</v>
      </c>
      <c r="E429" s="54" t="s">
        <v>60</v>
      </c>
      <c r="F429" s="54" t="s">
        <v>61</v>
      </c>
      <c r="G429" s="54" t="s">
        <v>62</v>
      </c>
    </row>
    <row r="430" spans="2:7" ht="13.5" customHeight="1">
      <c r="B430" s="51" t="s">
        <v>63</v>
      </c>
      <c r="C430" s="55" t="e">
        <f>0.2*AVERAGE(VLOOKUP(Exam_07,Sum_Accuracy,9,FALSE),VLOOKUP(Exam_07,Sum_Accuracy,10,FALSE))</f>
        <v>#VALUE!</v>
      </c>
      <c r="D430" s="55" t="e">
        <f>0.2*AVERAGE(VLOOKUP(Exam_07,Sum_Accuracy,9,FALSE),VLOOKUP(Exam_07,Sum_Accuracy,10,FALSE))</f>
        <v>#VALUE!</v>
      </c>
      <c r="E430" s="55" t="e">
        <f>0.2*AVERAGE(VLOOKUP(Exam_07,Sum_Accuracy,9,FALSE),VLOOKUP(Exam_07,Sum_Accuracy,10,FALSE))</f>
        <v>#VALUE!</v>
      </c>
      <c r="F430" s="55" t="e">
        <f>0.2*AVERAGE(VLOOKUP(Exam_07,Sum_Accuracy,9,FALSE),VLOOKUP(Exam_07,Sum_Accuracy,10,FALSE))</f>
        <v>#VALUE!</v>
      </c>
      <c r="G430" s="55" t="e">
        <f>0.2*AVERAGE(VLOOKUP(Exam_07,Sum_Accuracy,9,FALSE),VLOOKUP(Exam_07,Sum_Accuracy,10,FALSE))</f>
        <v>#VALUE!</v>
      </c>
    </row>
    <row r="431" spans="2:7" ht="13.5" customHeight="1">
      <c r="B431" s="51" t="s">
        <v>69</v>
      </c>
      <c r="C431" s="55" t="e">
        <f>0.2*AVERAGE(VLOOKUP(Exam_07,Sum_Accuracy,11,FALSE),VLOOKUP(Exam_07,Sum_Accuracy,12,FALSE))</f>
        <v>#VALUE!</v>
      </c>
      <c r="D431" s="55" t="e">
        <f>0.2*AVERAGE(VLOOKUP(Exam_07,Sum_Accuracy,11,FALSE),VLOOKUP(Exam_07,Sum_Accuracy,12,FALSE))</f>
        <v>#VALUE!</v>
      </c>
      <c r="E431" s="55" t="e">
        <f>0.2*AVERAGE(VLOOKUP(Exam_07,Sum_Accuracy,11,FALSE),VLOOKUP(Exam_07,Sum_Accuracy,12,FALSE))</f>
        <v>#VALUE!</v>
      </c>
      <c r="F431" s="55" t="e">
        <f>0.2*AVERAGE(VLOOKUP(Exam_07,Sum_Accuracy,11,FALSE),VLOOKUP(Exam_07,Sum_Accuracy,12,FALSE))</f>
        <v>#VALUE!</v>
      </c>
      <c r="G431" s="55" t="e">
        <f>0.2*AVERAGE(VLOOKUP(Exam_07,Sum_Accuracy,11,FALSE),VLOOKUP(Exam_07,Sum_Accuracy,12,FALSE))</f>
        <v>#VALUE!</v>
      </c>
    </row>
    <row r="432" spans="2:7" ht="13.5" customHeight="1">
      <c r="B432" s="51" t="s">
        <v>64</v>
      </c>
      <c r="C432" s="55" t="e">
        <f>0.2*AVERAGE(VLOOKUP(Exam_07,Sum_Accuracy,13,FALSE),VLOOKUP(Exam_07,Sum_Accuracy,14,FALSE))</f>
        <v>#VALUE!</v>
      </c>
      <c r="D432" s="55" t="e">
        <f>0.2*AVERAGE(VLOOKUP(Exam_07,Sum_Accuracy,13,FALSE),VLOOKUP(Exam_07,Sum_Accuracy,14,FALSE))</f>
        <v>#VALUE!</v>
      </c>
      <c r="E432" s="55" t="e">
        <f>0.2*AVERAGE(VLOOKUP(Exam_07,Sum_Accuracy,13,FALSE),VLOOKUP(Exam_07,Sum_Accuracy,14,FALSE))</f>
        <v>#VALUE!</v>
      </c>
      <c r="F432" s="55" t="e">
        <f>0.2*AVERAGE(VLOOKUP(Exam_07,Sum_Accuracy,13,FALSE),VLOOKUP(Exam_07,Sum_Accuracy,14,FALSE))</f>
        <v>#VALUE!</v>
      </c>
      <c r="G432" s="55" t="e">
        <f>0.2*AVERAGE(VLOOKUP(Exam_07,Sum_Accuracy,13,FALSE),VLOOKUP(Exam_07,Sum_Accuracy,14,FALSE))</f>
        <v>#VALUE!</v>
      </c>
    </row>
    <row r="433" spans="2:7" ht="13.5" customHeight="1">
      <c r="B433" s="51" t="s">
        <v>65</v>
      </c>
      <c r="C433" s="55" t="e">
        <f>0.2*AVERAGE(VLOOKUP(Exam_07,Sum_Accuracy,15,FALSE),VLOOKUP(Exam_07,Sum_Accuracy,16,FALSE))</f>
        <v>#VALUE!</v>
      </c>
      <c r="D433" s="55" t="e">
        <f>0.2*AVERAGE(VLOOKUP(Exam_07,Sum_Accuracy,15,FALSE),VLOOKUP(Exam_07,Sum_Accuracy,16,FALSE))</f>
        <v>#VALUE!</v>
      </c>
      <c r="E433" s="55" t="e">
        <f>0.2*AVERAGE(VLOOKUP(Exam_07,Sum_Accuracy,15,FALSE),VLOOKUP(Exam_07,Sum_Accuracy,16,FALSE))</f>
        <v>#VALUE!</v>
      </c>
      <c r="F433" s="55" t="e">
        <f>0.2*AVERAGE(VLOOKUP(Exam_07,Sum_Accuracy,15,FALSE),VLOOKUP(Exam_07,Sum_Accuracy,16,FALSE))</f>
        <v>#VALUE!</v>
      </c>
      <c r="G433" s="55" t="e">
        <f>0.2*AVERAGE(VLOOKUP(Exam_07,Sum_Accuracy,15,FALSE),VLOOKUP(Exam_07,Sum_Accuracy,16,FALSE))</f>
        <v>#VALUE!</v>
      </c>
    </row>
    <row r="434" spans="2:7" ht="13.5" customHeight="1">
      <c r="B434" s="51" t="s">
        <v>66</v>
      </c>
      <c r="C434" s="55" t="e">
        <f>VLOOKUP(Exam_07,Sum_Accuracy,8,FALSE)/5</f>
        <v>#VALUE!</v>
      </c>
      <c r="D434" s="55" t="e">
        <f>VLOOKUP(Exam_07,Sum_Accuracy,8,FALSE)/5</f>
        <v>#VALUE!</v>
      </c>
      <c r="E434" s="55" t="e">
        <f>VLOOKUP(Exam_07,Sum_Accuracy,8,FALSE)/5</f>
        <v>#VALUE!</v>
      </c>
      <c r="F434" s="55" t="e">
        <f>VLOOKUP(Exam_07,Sum_Accuracy,8,FALSE)/5</f>
        <v>#VALUE!</v>
      </c>
      <c r="G434" s="55" t="e">
        <f>VLOOKUP(Exam_07,Sum_Accuracy,8,FALSE)/5</f>
        <v>#VALUE!</v>
      </c>
    </row>
    <row r="435" spans="2:7" ht="13.5" customHeight="1">
      <c r="B435" s="241"/>
      <c r="C435" s="241"/>
      <c r="D435" s="241"/>
      <c r="E435" s="241"/>
      <c r="F435" s="241"/>
      <c r="G435" s="241"/>
    </row>
    <row r="437" spans="2:7" ht="13.5" customHeight="1">
      <c r="B437" s="245" t="s">
        <v>67</v>
      </c>
      <c r="C437" s="245"/>
      <c r="D437" s="245"/>
      <c r="E437" s="245"/>
      <c r="F437" s="245"/>
      <c r="G437" s="245"/>
    </row>
    <row r="438" spans="2:7" ht="13.5" customHeight="1">
      <c r="B438" s="246"/>
      <c r="C438" s="246"/>
      <c r="D438" s="246"/>
      <c r="E438" s="246"/>
      <c r="F438" s="246"/>
      <c r="G438" s="246"/>
    </row>
    <row r="439" spans="2:7" ht="13.5" customHeight="1">
      <c r="B439" s="52" t="s">
        <v>71</v>
      </c>
      <c r="C439" s="242" t="str">
        <f>BeerName1</f>
        <v>Style1</v>
      </c>
      <c r="D439" s="242"/>
      <c r="E439" s="242"/>
      <c r="F439" s="242"/>
      <c r="G439" s="242"/>
    </row>
    <row r="440" spans="2:7" ht="13.5" customHeight="1">
      <c r="B440" s="241"/>
      <c r="C440" s="241"/>
      <c r="D440" s="241"/>
      <c r="E440" s="241"/>
      <c r="F440" s="241"/>
      <c r="G440" s="241"/>
    </row>
    <row r="441" spans="2:7" ht="13.5" customHeight="1">
      <c r="B441" s="50" t="s">
        <v>68</v>
      </c>
      <c r="C441" s="54" t="s">
        <v>58</v>
      </c>
      <c r="D441" s="54" t="s">
        <v>59</v>
      </c>
      <c r="E441" s="54" t="s">
        <v>60</v>
      </c>
      <c r="F441" s="54" t="s">
        <v>61</v>
      </c>
      <c r="G441" s="54" t="s">
        <v>62</v>
      </c>
    </row>
    <row r="442" spans="2:7" ht="13.5" customHeight="1">
      <c r="B442" s="51" t="s">
        <v>63</v>
      </c>
      <c r="C442" s="55" t="e">
        <f>VLOOKUP(Exam_07,AverageScores,b1_perception,FALSE)</f>
        <v>#DIV/0!</v>
      </c>
      <c r="D442" s="55" t="e">
        <f>VLOOKUP(Exam_07,AverageScores,b1_perception,FALSE)</f>
        <v>#DIV/0!</v>
      </c>
      <c r="E442" s="55" t="e">
        <f>VLOOKUP(Exam_07,AverageScores,b1_perception,FALSE)</f>
        <v>#DIV/0!</v>
      </c>
      <c r="F442" s="55" t="e">
        <f>VLOOKUP(Exam_07,AverageScores,b1_perception,FALSE)</f>
        <v>#DIV/0!</v>
      </c>
      <c r="G442" s="55" t="e">
        <f>VLOOKUP(Exam_07,AverageScores,b1_perception,FALSE)</f>
        <v>#DIV/0!</v>
      </c>
    </row>
    <row r="443" spans="2:7" ht="13.5" customHeight="1">
      <c r="B443" s="51" t="s">
        <v>69</v>
      </c>
      <c r="C443" s="55" t="e">
        <f>VLOOKUP(Exam_07,AverageScores,b1_descriptive,FALSE)</f>
        <v>#DIV/0!</v>
      </c>
      <c r="D443" s="55" t="e">
        <f>VLOOKUP(Exam_07,AverageScores,b1_descriptive,FALSE)</f>
        <v>#DIV/0!</v>
      </c>
      <c r="E443" s="55" t="e">
        <f>VLOOKUP(Exam_07,AverageScores,b1_descriptive,FALSE)</f>
        <v>#DIV/0!</v>
      </c>
      <c r="F443" s="55" t="e">
        <f>VLOOKUP(Exam_07,AverageScores,b1_descriptive,FALSE)</f>
        <v>#DIV/0!</v>
      </c>
      <c r="G443" s="55" t="e">
        <f>VLOOKUP(Exam_07,AverageScores,b1_descriptive,FALSE)</f>
        <v>#DIV/0!</v>
      </c>
    </row>
    <row r="444" spans="2:7" ht="13.5" customHeight="1">
      <c r="B444" s="51" t="s">
        <v>64</v>
      </c>
      <c r="C444" s="55" t="e">
        <f>VLOOKUP(Exam_07,AverageScores,b1_feedback,FALSE)</f>
        <v>#DIV/0!</v>
      </c>
      <c r="D444" s="55" t="e">
        <f>VLOOKUP(Exam_07,AverageScores,b1_feedback,FALSE)</f>
        <v>#DIV/0!</v>
      </c>
      <c r="E444" s="55" t="e">
        <f>VLOOKUP(Exam_07,AverageScores,b1_feedback,FALSE)</f>
        <v>#DIV/0!</v>
      </c>
      <c r="F444" s="55" t="e">
        <f>VLOOKUP(Exam_07,AverageScores,b1_feedback,FALSE)</f>
        <v>#DIV/0!</v>
      </c>
      <c r="G444" s="55" t="e">
        <f>VLOOKUP(Exam_07,AverageScores,b1_feedback,FALSE)</f>
        <v>#DIV/0!</v>
      </c>
    </row>
    <row r="445" spans="2:7" ht="13.5" customHeight="1">
      <c r="B445" s="51" t="s">
        <v>65</v>
      </c>
      <c r="C445" s="55" t="e">
        <f>VLOOKUP(Exam_07,AverageScores,b1_completeness,FALSE)</f>
        <v>#DIV/0!</v>
      </c>
      <c r="D445" s="55" t="e">
        <f>VLOOKUP(Exam_07,AverageScores,b1_completeness,FALSE)</f>
        <v>#DIV/0!</v>
      </c>
      <c r="E445" s="55" t="e">
        <f>VLOOKUP(Exam_07,AverageScores,b1_completeness,FALSE)</f>
        <v>#DIV/0!</v>
      </c>
      <c r="F445" s="55" t="e">
        <f>VLOOKUP(Exam_07,AverageScores,b1_completeness,FALSE)</f>
        <v>#DIV/0!</v>
      </c>
      <c r="G445" s="55" t="e">
        <f>VLOOKUP(Exam_07,AverageScores,b1_completeness,FALSE)</f>
        <v>#DIV/0!</v>
      </c>
    </row>
    <row r="446" spans="2:7" ht="13.5" customHeight="1">
      <c r="B446" s="51" t="s">
        <v>66</v>
      </c>
      <c r="C446" s="55">
        <f>VLOOKUP(Exam_07,ScoringAccuracyTable,b1_accuracy,FALSE)</f>
      </c>
      <c r="D446" s="55">
        <f>VLOOKUP(Exam_07,ScoringAccuracyTable,b1_accuracy,FALSE)</f>
      </c>
      <c r="E446" s="55">
        <f>VLOOKUP(Exam_07,ScoringAccuracyTable,b1_accuracy,FALSE)</f>
      </c>
      <c r="F446" s="55">
        <f>VLOOKUP(Exam_07,ScoringAccuracyTable,b1_accuracy,FALSE)</f>
      </c>
      <c r="G446" s="55">
        <f>VLOOKUP(Exam_07,ScoringAccuracyTable,b1_accuracy,FALSE)</f>
      </c>
    </row>
    <row r="447" spans="2:7" ht="13.5" customHeight="1">
      <c r="B447" s="241"/>
      <c r="C447" s="241"/>
      <c r="D447" s="241"/>
      <c r="E447" s="241"/>
      <c r="F447" s="241"/>
      <c r="G447" s="241"/>
    </row>
    <row r="448" spans="2:7" ht="13.5" customHeight="1">
      <c r="B448" s="52" t="s">
        <v>72</v>
      </c>
      <c r="C448" s="242" t="str">
        <f>BeerName2</f>
        <v>Style2</v>
      </c>
      <c r="D448" s="242"/>
      <c r="E448" s="242"/>
      <c r="F448" s="242"/>
      <c r="G448" s="242"/>
    </row>
    <row r="449" spans="2:7" ht="13.5" customHeight="1">
      <c r="B449" s="247"/>
      <c r="C449" s="247"/>
      <c r="D449" s="247"/>
      <c r="E449" s="247"/>
      <c r="F449" s="247"/>
      <c r="G449" s="247"/>
    </row>
    <row r="450" spans="2:7" ht="13.5" customHeight="1">
      <c r="B450" s="50" t="s">
        <v>68</v>
      </c>
      <c r="C450" s="56" t="s">
        <v>58</v>
      </c>
      <c r="D450" s="56" t="s">
        <v>59</v>
      </c>
      <c r="E450" s="56" t="s">
        <v>60</v>
      </c>
      <c r="F450" s="56" t="s">
        <v>61</v>
      </c>
      <c r="G450" s="56" t="s">
        <v>62</v>
      </c>
    </row>
    <row r="451" spans="2:7" ht="13.5" customHeight="1">
      <c r="B451" s="51" t="s">
        <v>63</v>
      </c>
      <c r="C451" s="55" t="e">
        <f>VLOOKUP(Exam_07,AverageScores,b2_perceptive,FALSE)</f>
        <v>#DIV/0!</v>
      </c>
      <c r="D451" s="55" t="e">
        <f>VLOOKUP(Exam_07,AverageScores,b2_perceptive,FALSE)</f>
        <v>#DIV/0!</v>
      </c>
      <c r="E451" s="55" t="e">
        <f>VLOOKUP(Exam_07,AverageScores,b2_perceptive,FALSE)</f>
        <v>#DIV/0!</v>
      </c>
      <c r="F451" s="55" t="e">
        <f>VLOOKUP(Exam_07,AverageScores,b2_perceptive,FALSE)</f>
        <v>#DIV/0!</v>
      </c>
      <c r="G451" s="55" t="e">
        <f>VLOOKUP(Exam_07,AverageScores,b2_perceptive,FALSE)</f>
        <v>#DIV/0!</v>
      </c>
    </row>
    <row r="452" spans="2:7" ht="13.5" customHeight="1">
      <c r="B452" s="51" t="s">
        <v>69</v>
      </c>
      <c r="C452" s="55" t="e">
        <f>VLOOKUP(Exam_07,AverageScores,b2_descriptive,FALSE)</f>
        <v>#DIV/0!</v>
      </c>
      <c r="D452" s="55" t="e">
        <f>VLOOKUP(Exam_07,AverageScores,b2_descriptive,FALSE)</f>
        <v>#DIV/0!</v>
      </c>
      <c r="E452" s="55" t="e">
        <f>VLOOKUP(Exam_07,AverageScores,b2_descriptive,FALSE)</f>
        <v>#DIV/0!</v>
      </c>
      <c r="F452" s="55" t="e">
        <f>VLOOKUP(Exam_07,AverageScores,b2_descriptive,FALSE)</f>
        <v>#DIV/0!</v>
      </c>
      <c r="G452" s="55" t="e">
        <f>VLOOKUP(Exam_07,AverageScores,b2_descriptive,FALSE)</f>
        <v>#DIV/0!</v>
      </c>
    </row>
    <row r="453" spans="2:7" ht="13.5" customHeight="1">
      <c r="B453" s="51" t="s">
        <v>64</v>
      </c>
      <c r="C453" s="55" t="e">
        <f>VLOOKUP(Exam_07,AverageScores,b2_feedback,FALSE)</f>
        <v>#DIV/0!</v>
      </c>
      <c r="D453" s="55" t="e">
        <f>VLOOKUP(Exam_07,AverageScores,b2_feedback,FALSE)</f>
        <v>#DIV/0!</v>
      </c>
      <c r="E453" s="55" t="e">
        <f>VLOOKUP(Exam_07,AverageScores,b2_feedback,FALSE)</f>
        <v>#DIV/0!</v>
      </c>
      <c r="F453" s="55" t="e">
        <f>VLOOKUP(Exam_07,AverageScores,b2_feedback,FALSE)</f>
        <v>#DIV/0!</v>
      </c>
      <c r="G453" s="55" t="e">
        <f>VLOOKUP(Exam_07,AverageScores,b2_feedback,FALSE)</f>
        <v>#DIV/0!</v>
      </c>
    </row>
    <row r="454" spans="2:7" ht="13.5" customHeight="1">
      <c r="B454" s="51" t="s">
        <v>65</v>
      </c>
      <c r="C454" s="55" t="e">
        <f>VLOOKUP(Exam_07,AverageScores,b2_completeness,FALSE)</f>
        <v>#DIV/0!</v>
      </c>
      <c r="D454" s="55" t="e">
        <f>VLOOKUP(Exam_07,AverageScores,b2_completeness,FALSE)</f>
        <v>#DIV/0!</v>
      </c>
      <c r="E454" s="55" t="e">
        <f>VLOOKUP(Exam_07,AverageScores,b2_completeness,FALSE)</f>
        <v>#DIV/0!</v>
      </c>
      <c r="F454" s="55" t="e">
        <f>VLOOKUP(Exam_07,AverageScores,b2_completeness,FALSE)</f>
        <v>#DIV/0!</v>
      </c>
      <c r="G454" s="55" t="e">
        <f>VLOOKUP(Exam_07,AverageScores,b2_completeness,FALSE)</f>
        <v>#DIV/0!</v>
      </c>
    </row>
    <row r="455" spans="2:7" ht="13.5" customHeight="1">
      <c r="B455" s="51" t="s">
        <v>66</v>
      </c>
      <c r="C455" s="55">
        <f>VLOOKUP(Exam_07,ScoringAccuracyTable,b2_accuracy,FALSE)</f>
      </c>
      <c r="D455" s="55">
        <f>VLOOKUP(Exam_07,ScoringAccuracyTable,b2_accuracy,FALSE)</f>
      </c>
      <c r="E455" s="55">
        <f>VLOOKUP(Exam_07,ScoringAccuracyTable,b2_accuracy,FALSE)</f>
      </c>
      <c r="F455" s="55">
        <f>VLOOKUP(Exam_07,ScoringAccuracyTable,b2_accuracy,FALSE)</f>
      </c>
      <c r="G455" s="55">
        <f>VLOOKUP(Exam_07,ScoringAccuracyTable,b2_accuracy,FALSE)</f>
      </c>
    </row>
    <row r="456" spans="2:7" ht="13.5" customHeight="1">
      <c r="B456" s="241"/>
      <c r="C456" s="241"/>
      <c r="D456" s="241"/>
      <c r="E456" s="241"/>
      <c r="F456" s="241"/>
      <c r="G456" s="241"/>
    </row>
    <row r="457" spans="2:7" ht="13.5" customHeight="1">
      <c r="B457" s="52" t="s">
        <v>76</v>
      </c>
      <c r="C457" s="242" t="str">
        <f>BeerName3</f>
        <v>Style3</v>
      </c>
      <c r="D457" s="242"/>
      <c r="E457" s="242"/>
      <c r="F457" s="242"/>
      <c r="G457" s="242"/>
    </row>
    <row r="458" spans="2:7" ht="13.5" customHeight="1">
      <c r="B458" s="247"/>
      <c r="C458" s="247"/>
      <c r="D458" s="247"/>
      <c r="E458" s="247"/>
      <c r="F458" s="247"/>
      <c r="G458" s="247"/>
    </row>
    <row r="459" spans="2:7" ht="13.5" customHeight="1">
      <c r="B459" s="50" t="s">
        <v>68</v>
      </c>
      <c r="C459" s="54" t="s">
        <v>58</v>
      </c>
      <c r="D459" s="54" t="s">
        <v>59</v>
      </c>
      <c r="E459" s="54" t="s">
        <v>60</v>
      </c>
      <c r="F459" s="54" t="s">
        <v>61</v>
      </c>
      <c r="G459" s="54" t="s">
        <v>62</v>
      </c>
    </row>
    <row r="460" spans="2:7" ht="13.5" customHeight="1">
      <c r="B460" s="51" t="s">
        <v>63</v>
      </c>
      <c r="C460" s="55" t="e">
        <f>VLOOKUP(Exam_07,AverageScores,b3_perception,FALSE)</f>
        <v>#DIV/0!</v>
      </c>
      <c r="D460" s="55" t="e">
        <f>VLOOKUP(Exam_07,AverageScores,b3_perception,FALSE)</f>
        <v>#DIV/0!</v>
      </c>
      <c r="E460" s="55" t="e">
        <f>VLOOKUP(Exam_07,AverageScores,b3_perception,FALSE)</f>
        <v>#DIV/0!</v>
      </c>
      <c r="F460" s="55" t="e">
        <f>VLOOKUP(Exam_07,AverageScores,b3_perception,FALSE)</f>
        <v>#DIV/0!</v>
      </c>
      <c r="G460" s="55" t="e">
        <f>VLOOKUP(Exam_07,AverageScores,b3_perception,FALSE)</f>
        <v>#DIV/0!</v>
      </c>
    </row>
    <row r="461" spans="2:7" ht="13.5" customHeight="1">
      <c r="B461" s="51" t="s">
        <v>69</v>
      </c>
      <c r="C461" s="55" t="e">
        <f>VLOOKUP(Exam_07,AverageScores,b3_descriptive,FALSE)</f>
        <v>#DIV/0!</v>
      </c>
      <c r="D461" s="55" t="e">
        <f>VLOOKUP(Exam_07,AverageScores,b3_descriptive,FALSE)</f>
        <v>#DIV/0!</v>
      </c>
      <c r="E461" s="55" t="e">
        <f>VLOOKUP(Exam_07,AverageScores,b3_descriptive,FALSE)</f>
        <v>#DIV/0!</v>
      </c>
      <c r="F461" s="55" t="e">
        <f>VLOOKUP(Exam_07,AverageScores,b3_descriptive,FALSE)</f>
        <v>#DIV/0!</v>
      </c>
      <c r="G461" s="55" t="e">
        <f>VLOOKUP(Exam_07,AverageScores,b3_descriptive,FALSE)</f>
        <v>#DIV/0!</v>
      </c>
    </row>
    <row r="462" spans="2:7" ht="13.5" customHeight="1">
      <c r="B462" s="51" t="s">
        <v>64</v>
      </c>
      <c r="C462" s="55" t="e">
        <f>VLOOKUP(Exam_07,AverageScores,b3_feedback,FALSE)</f>
        <v>#DIV/0!</v>
      </c>
      <c r="D462" s="55" t="e">
        <f>VLOOKUP(Exam_07,AverageScores,b3_feedback,FALSE)</f>
        <v>#DIV/0!</v>
      </c>
      <c r="E462" s="55" t="e">
        <f>VLOOKUP(Exam_07,AverageScores,b3_feedback,FALSE)</f>
        <v>#DIV/0!</v>
      </c>
      <c r="F462" s="55" t="e">
        <f>VLOOKUP(Exam_07,AverageScores,b3_feedback,FALSE)</f>
        <v>#DIV/0!</v>
      </c>
      <c r="G462" s="55" t="e">
        <f>VLOOKUP(Exam_07,AverageScores,b3_feedback,FALSE)</f>
        <v>#DIV/0!</v>
      </c>
    </row>
    <row r="463" spans="2:7" ht="13.5" customHeight="1">
      <c r="B463" s="51" t="s">
        <v>65</v>
      </c>
      <c r="C463" s="55" t="e">
        <f>VLOOKUP(Exam_07,AverageScores,b3_completeness,FALSE)</f>
        <v>#DIV/0!</v>
      </c>
      <c r="D463" s="55" t="e">
        <f>VLOOKUP(Exam_07,AverageScores,b3_completeness,FALSE)</f>
        <v>#DIV/0!</v>
      </c>
      <c r="E463" s="55" t="e">
        <f>VLOOKUP(Exam_07,AverageScores,b3_completeness,FALSE)</f>
        <v>#DIV/0!</v>
      </c>
      <c r="F463" s="55" t="e">
        <f>VLOOKUP(Exam_07,AverageScores,b3_completeness,FALSE)</f>
        <v>#DIV/0!</v>
      </c>
      <c r="G463" s="55" t="e">
        <f>VLOOKUP(Exam_07,AverageScores,b3_completeness,FALSE)</f>
        <v>#DIV/0!</v>
      </c>
    </row>
    <row r="464" spans="2:7" ht="13.5" customHeight="1">
      <c r="B464" s="51" t="s">
        <v>66</v>
      </c>
      <c r="C464" s="55">
        <f>VLOOKUP(Exam_07,ScoringAccuracyTable,b3_accuracy,FALSE)</f>
      </c>
      <c r="D464" s="55">
        <f>VLOOKUP(Exam_07,ScoringAccuracyTable,b3_accuracy,FALSE)</f>
      </c>
      <c r="E464" s="55">
        <f>VLOOKUP(Exam_07,ScoringAccuracyTable,b3_accuracy,FALSE)</f>
      </c>
      <c r="F464" s="55">
        <f>VLOOKUP(Exam_07,ScoringAccuracyTable,b3_accuracy,FALSE)</f>
      </c>
      <c r="G464" s="55">
        <f>VLOOKUP(Exam_07,ScoringAccuracyTable,b3_accuracy,FALSE)</f>
      </c>
    </row>
    <row r="465" spans="2:7" ht="13.5" customHeight="1">
      <c r="B465" s="241"/>
      <c r="C465" s="241"/>
      <c r="D465" s="241"/>
      <c r="E465" s="241"/>
      <c r="F465" s="241"/>
      <c r="G465" s="241"/>
    </row>
    <row r="466" spans="2:7" ht="13.5" customHeight="1">
      <c r="B466" s="52" t="s">
        <v>75</v>
      </c>
      <c r="C466" s="242" t="str">
        <f>BeerName4</f>
        <v>Style4</v>
      </c>
      <c r="D466" s="242"/>
      <c r="E466" s="242"/>
      <c r="F466" s="242"/>
      <c r="G466" s="242"/>
    </row>
    <row r="467" spans="2:7" ht="13.5" customHeight="1">
      <c r="B467" s="241"/>
      <c r="C467" s="241"/>
      <c r="D467" s="241"/>
      <c r="E467" s="241"/>
      <c r="F467" s="241"/>
      <c r="G467" s="241"/>
    </row>
    <row r="468" spans="2:7" ht="13.5" customHeight="1">
      <c r="B468" s="50" t="s">
        <v>68</v>
      </c>
      <c r="C468" s="54" t="s">
        <v>58</v>
      </c>
      <c r="D468" s="54" t="s">
        <v>59</v>
      </c>
      <c r="E468" s="54" t="s">
        <v>60</v>
      </c>
      <c r="F468" s="54" t="s">
        <v>61</v>
      </c>
      <c r="G468" s="54" t="s">
        <v>62</v>
      </c>
    </row>
    <row r="469" spans="2:7" ht="13.5" customHeight="1">
      <c r="B469" s="51" t="s">
        <v>63</v>
      </c>
      <c r="C469" s="55" t="e">
        <f>VLOOKUP(Exam_07,AverageScores,b4_perception,FALSE)</f>
        <v>#DIV/0!</v>
      </c>
      <c r="D469" s="55" t="e">
        <f>VLOOKUP(Exam_07,AverageScores,b4_perception,FALSE)</f>
        <v>#DIV/0!</v>
      </c>
      <c r="E469" s="55" t="e">
        <f>VLOOKUP(Exam_07,AverageScores,b4_perception,FALSE)</f>
        <v>#DIV/0!</v>
      </c>
      <c r="F469" s="55" t="e">
        <f>VLOOKUP(Exam_07,AverageScores,b4_perception,FALSE)</f>
        <v>#DIV/0!</v>
      </c>
      <c r="G469" s="55" t="e">
        <f>VLOOKUP(Exam_07,AverageScores,b4_perception,FALSE)</f>
        <v>#DIV/0!</v>
      </c>
    </row>
    <row r="470" spans="2:7" ht="13.5" customHeight="1">
      <c r="B470" s="51" t="s">
        <v>69</v>
      </c>
      <c r="C470" s="55" t="e">
        <f>VLOOKUP(Exam_07,AverageScores,b4_descriptive,FALSE)</f>
        <v>#DIV/0!</v>
      </c>
      <c r="D470" s="55" t="e">
        <f>VLOOKUP(Exam_07,AverageScores,b4_descriptive,FALSE)</f>
        <v>#DIV/0!</v>
      </c>
      <c r="E470" s="55" t="e">
        <f>VLOOKUP(Exam_07,AverageScores,b4_descriptive,FALSE)</f>
        <v>#DIV/0!</v>
      </c>
      <c r="F470" s="55" t="e">
        <f>VLOOKUP(Exam_07,AverageScores,b4_descriptive,FALSE)</f>
        <v>#DIV/0!</v>
      </c>
      <c r="G470" s="55" t="e">
        <f>VLOOKUP(Exam_07,AverageScores,b4_descriptive,FALSE)</f>
        <v>#DIV/0!</v>
      </c>
    </row>
    <row r="471" spans="2:7" ht="13.5" customHeight="1">
      <c r="B471" s="51" t="s">
        <v>64</v>
      </c>
      <c r="C471" s="55" t="e">
        <f>VLOOKUP(Exam_07,AverageScores,b4_feedback,FALSE)</f>
        <v>#DIV/0!</v>
      </c>
      <c r="D471" s="55" t="e">
        <f>VLOOKUP(Exam_07,AverageScores,b4_feedback,FALSE)</f>
        <v>#DIV/0!</v>
      </c>
      <c r="E471" s="55" t="e">
        <f>VLOOKUP(Exam_07,AverageScores,b4_feedback,FALSE)</f>
        <v>#DIV/0!</v>
      </c>
      <c r="F471" s="55" t="e">
        <f>VLOOKUP(Exam_07,AverageScores,b4_feedback,FALSE)</f>
        <v>#DIV/0!</v>
      </c>
      <c r="G471" s="55" t="e">
        <f>VLOOKUP(Exam_07,AverageScores,b4_feedback,FALSE)</f>
        <v>#DIV/0!</v>
      </c>
    </row>
    <row r="472" spans="2:7" ht="13.5" customHeight="1">
      <c r="B472" s="51" t="s">
        <v>65</v>
      </c>
      <c r="C472" s="55" t="e">
        <f>VLOOKUP(Exam_07,AverageScores,b4_completeness,FALSE)</f>
        <v>#DIV/0!</v>
      </c>
      <c r="D472" s="55" t="e">
        <f>VLOOKUP(Exam_07,AverageScores,b4_completeness,FALSE)</f>
        <v>#DIV/0!</v>
      </c>
      <c r="E472" s="55" t="e">
        <f>VLOOKUP(Exam_07,AverageScores,b4_completeness,FALSE)</f>
        <v>#DIV/0!</v>
      </c>
      <c r="F472" s="55" t="e">
        <f>VLOOKUP(Exam_07,AverageScores,b4_completeness,FALSE)</f>
        <v>#DIV/0!</v>
      </c>
      <c r="G472" s="55" t="e">
        <f>VLOOKUP(Exam_07,AverageScores,b4_completeness,FALSE)</f>
        <v>#DIV/0!</v>
      </c>
    </row>
    <row r="473" spans="2:7" ht="13.5" customHeight="1">
      <c r="B473" s="51" t="s">
        <v>66</v>
      </c>
      <c r="C473" s="55">
        <f>VLOOKUP(Exam_07,ScoringAccuracyTable,b4_accuracy,FALSE)</f>
      </c>
      <c r="D473" s="55">
        <f>VLOOKUP(Exam_07,ScoringAccuracyTable,b4_accuracy,FALSE)</f>
      </c>
      <c r="E473" s="55">
        <f>VLOOKUP(Exam_07,ScoringAccuracyTable,b4_accuracy,FALSE)</f>
      </c>
      <c r="F473" s="55">
        <f>VLOOKUP(Exam_07,ScoringAccuracyTable,b4_accuracy,FALSE)</f>
      </c>
      <c r="G473" s="55">
        <f>VLOOKUP(Exam_07,ScoringAccuracyTable,b4_accuracy,FALSE)</f>
      </c>
    </row>
    <row r="474" spans="2:7" ht="13.5" customHeight="1">
      <c r="B474" s="241"/>
      <c r="C474" s="241"/>
      <c r="D474" s="241"/>
      <c r="E474" s="241"/>
      <c r="F474" s="241"/>
      <c r="G474" s="241"/>
    </row>
    <row r="479" spans="2:7" ht="13.5" customHeight="1">
      <c r="B479" s="52" t="s">
        <v>74</v>
      </c>
      <c r="C479" s="242" t="str">
        <f>BeerName5</f>
        <v>Style5</v>
      </c>
      <c r="D479" s="242"/>
      <c r="E479" s="242"/>
      <c r="F479" s="242"/>
      <c r="G479" s="242"/>
    </row>
    <row r="480" spans="2:7" ht="13.5" customHeight="1">
      <c r="B480" s="241"/>
      <c r="C480" s="241"/>
      <c r="D480" s="241"/>
      <c r="E480" s="241"/>
      <c r="F480" s="241"/>
      <c r="G480" s="241"/>
    </row>
    <row r="481" spans="2:7" ht="13.5" customHeight="1">
      <c r="B481" s="50" t="s">
        <v>68</v>
      </c>
      <c r="C481" s="54" t="s">
        <v>58</v>
      </c>
      <c r="D481" s="54" t="s">
        <v>59</v>
      </c>
      <c r="E481" s="54" t="s">
        <v>60</v>
      </c>
      <c r="F481" s="54" t="s">
        <v>61</v>
      </c>
      <c r="G481" s="54" t="s">
        <v>62</v>
      </c>
    </row>
    <row r="482" spans="2:7" ht="13.5" customHeight="1">
      <c r="B482" s="51" t="s">
        <v>63</v>
      </c>
      <c r="C482" s="55" t="e">
        <f>VLOOKUP(Exam_07,AverageScores,b5_perception,FALSE)</f>
        <v>#DIV/0!</v>
      </c>
      <c r="D482" s="55" t="e">
        <f>VLOOKUP(Exam_07,AverageScores,b5_perception,FALSE)</f>
        <v>#DIV/0!</v>
      </c>
      <c r="E482" s="55" t="e">
        <f>VLOOKUP(Exam_07,AverageScores,b5_perception,FALSE)</f>
        <v>#DIV/0!</v>
      </c>
      <c r="F482" s="55" t="e">
        <f>VLOOKUP(Exam_07,AverageScores,b5_perception,FALSE)</f>
        <v>#DIV/0!</v>
      </c>
      <c r="G482" s="55" t="e">
        <f>VLOOKUP(Exam_07,AverageScores,b5_perception,FALSE)</f>
        <v>#DIV/0!</v>
      </c>
    </row>
    <row r="483" spans="2:7" ht="13.5" customHeight="1">
      <c r="B483" s="51" t="s">
        <v>69</v>
      </c>
      <c r="C483" s="55" t="e">
        <f>VLOOKUP(Exam_07,AverageScores,b5_descriptive,FALSE)</f>
        <v>#DIV/0!</v>
      </c>
      <c r="D483" s="55" t="e">
        <f>VLOOKUP(Exam_07,AverageScores,b5_descriptive,FALSE)</f>
        <v>#DIV/0!</v>
      </c>
      <c r="E483" s="55" t="e">
        <f>VLOOKUP(Exam_07,AverageScores,b5_descriptive,FALSE)</f>
        <v>#DIV/0!</v>
      </c>
      <c r="F483" s="55" t="e">
        <f>VLOOKUP(Exam_07,AverageScores,b5_descriptive,FALSE)</f>
        <v>#DIV/0!</v>
      </c>
      <c r="G483" s="55" t="e">
        <f>VLOOKUP(Exam_07,AverageScores,b5_descriptive,FALSE)</f>
        <v>#DIV/0!</v>
      </c>
    </row>
    <row r="484" spans="2:7" ht="13.5" customHeight="1">
      <c r="B484" s="51" t="s">
        <v>64</v>
      </c>
      <c r="C484" s="55" t="e">
        <f>VLOOKUP(Exam_07,AverageScores,b5_feedback,FALSE)</f>
        <v>#DIV/0!</v>
      </c>
      <c r="D484" s="55" t="e">
        <f>VLOOKUP(Exam_07,AverageScores,b5_feedback,FALSE)</f>
        <v>#DIV/0!</v>
      </c>
      <c r="E484" s="55" t="e">
        <f>VLOOKUP(Exam_07,AverageScores,b5_feedback,FALSE)</f>
        <v>#DIV/0!</v>
      </c>
      <c r="F484" s="55" t="e">
        <f>VLOOKUP(Exam_07,AverageScores,b5_feedback,FALSE)</f>
        <v>#DIV/0!</v>
      </c>
      <c r="G484" s="55" t="e">
        <f>VLOOKUP(Exam_07,AverageScores,b5_feedback,FALSE)</f>
        <v>#DIV/0!</v>
      </c>
    </row>
    <row r="485" spans="2:7" ht="13.5" customHeight="1">
      <c r="B485" s="51" t="s">
        <v>65</v>
      </c>
      <c r="C485" s="55" t="e">
        <f>VLOOKUP(Exam_07,AverageScores,b5_completeness,FALSE)</f>
        <v>#DIV/0!</v>
      </c>
      <c r="D485" s="55" t="e">
        <f>VLOOKUP(Exam_07,AverageScores,b5_completeness,FALSE)</f>
        <v>#DIV/0!</v>
      </c>
      <c r="E485" s="55" t="e">
        <f>VLOOKUP(Exam_07,AverageScores,b5_completeness,FALSE)</f>
        <v>#DIV/0!</v>
      </c>
      <c r="F485" s="55" t="e">
        <f>VLOOKUP(Exam_07,AverageScores,b5_completeness,FALSE)</f>
        <v>#DIV/0!</v>
      </c>
      <c r="G485" s="55" t="e">
        <f>VLOOKUP(Exam_07,AverageScores,b5_completeness,FALSE)</f>
        <v>#DIV/0!</v>
      </c>
    </row>
    <row r="486" spans="2:7" ht="13.5" customHeight="1">
      <c r="B486" s="51" t="s">
        <v>66</v>
      </c>
      <c r="C486" s="55">
        <f>VLOOKUP(Exam_07,ScoringAccuracyTable,b5_accuracy,FALSE)</f>
      </c>
      <c r="D486" s="55">
        <f>VLOOKUP(Exam_07,ScoringAccuracyTable,b5_accuracy,FALSE)</f>
      </c>
      <c r="E486" s="55">
        <f>VLOOKUP(Exam_07,ScoringAccuracyTable,b5_accuracy,FALSE)</f>
      </c>
      <c r="F486" s="55">
        <f>VLOOKUP(Exam_07,ScoringAccuracyTable,b5_accuracy,FALSE)</f>
      </c>
      <c r="G486" s="55">
        <f>VLOOKUP(Exam_07,ScoringAccuracyTable,b5_accuracy,FALSE)</f>
      </c>
    </row>
    <row r="487" spans="2:7" ht="13.5" customHeight="1">
      <c r="B487" s="241"/>
      <c r="C487" s="241"/>
      <c r="D487" s="241"/>
      <c r="E487" s="241"/>
      <c r="F487" s="241"/>
      <c r="G487" s="241"/>
    </row>
    <row r="488" spans="2:7" ht="13.5" customHeight="1">
      <c r="B488" s="52" t="s">
        <v>73</v>
      </c>
      <c r="C488" s="242" t="str">
        <f>BeerName6</f>
        <v>Style6</v>
      </c>
      <c r="D488" s="242"/>
      <c r="E488" s="242"/>
      <c r="F488" s="242"/>
      <c r="G488" s="242"/>
    </row>
    <row r="489" spans="2:7" ht="13.5" customHeight="1">
      <c r="B489" s="241"/>
      <c r="C489" s="241"/>
      <c r="D489" s="241"/>
      <c r="E489" s="241"/>
      <c r="F489" s="241"/>
      <c r="G489" s="241"/>
    </row>
    <row r="490" spans="2:7" ht="13.5" customHeight="1">
      <c r="B490" s="50" t="s">
        <v>68</v>
      </c>
      <c r="C490" s="54" t="s">
        <v>58</v>
      </c>
      <c r="D490" s="54" t="s">
        <v>59</v>
      </c>
      <c r="E490" s="54" t="s">
        <v>60</v>
      </c>
      <c r="F490" s="54" t="s">
        <v>61</v>
      </c>
      <c r="G490" s="54" t="s">
        <v>62</v>
      </c>
    </row>
    <row r="491" spans="2:7" ht="13.5" customHeight="1">
      <c r="B491" s="51" t="s">
        <v>63</v>
      </c>
      <c r="C491" s="55" t="e">
        <f>VLOOKUP(Exam_07,AverageScores,b6_perception,FALSE)</f>
        <v>#DIV/0!</v>
      </c>
      <c r="D491" s="55" t="e">
        <f>VLOOKUP(Exam_07,AverageScores,b6_perception,FALSE)</f>
        <v>#DIV/0!</v>
      </c>
      <c r="E491" s="55" t="e">
        <f>VLOOKUP(Exam_07,AverageScores,b6_perception,FALSE)</f>
        <v>#DIV/0!</v>
      </c>
      <c r="F491" s="55" t="e">
        <f>VLOOKUP(Exam_07,AverageScores,b6_perception,FALSE)</f>
        <v>#DIV/0!</v>
      </c>
      <c r="G491" s="55" t="e">
        <f>VLOOKUP(Exam_07,AverageScores,b6_perception,FALSE)</f>
        <v>#DIV/0!</v>
      </c>
    </row>
    <row r="492" spans="2:7" ht="13.5" customHeight="1">
      <c r="B492" s="51" t="s">
        <v>69</v>
      </c>
      <c r="C492" s="55" t="e">
        <f>VLOOKUP(Exam_07,AverageScores,b6_descriptive,FALSE)</f>
        <v>#DIV/0!</v>
      </c>
      <c r="D492" s="55" t="e">
        <f>VLOOKUP(Exam_07,AverageScores,b6_descriptive,FALSE)</f>
        <v>#DIV/0!</v>
      </c>
      <c r="E492" s="55" t="e">
        <f>VLOOKUP(Exam_07,AverageScores,b6_descriptive,FALSE)</f>
        <v>#DIV/0!</v>
      </c>
      <c r="F492" s="55" t="e">
        <f>VLOOKUP(Exam_07,AverageScores,b6_descriptive,FALSE)</f>
        <v>#DIV/0!</v>
      </c>
      <c r="G492" s="55" t="e">
        <f>VLOOKUP(Exam_07,AverageScores,b6_descriptive,FALSE)</f>
        <v>#DIV/0!</v>
      </c>
    </row>
    <row r="493" spans="2:7" ht="13.5" customHeight="1">
      <c r="B493" s="51" t="s">
        <v>64</v>
      </c>
      <c r="C493" s="55" t="e">
        <f>VLOOKUP(Exam_07,AverageScores,b6_feedback,FALSE)</f>
        <v>#DIV/0!</v>
      </c>
      <c r="D493" s="55" t="e">
        <f>VLOOKUP(Exam_07,AverageScores,b6_feedback,FALSE)</f>
        <v>#DIV/0!</v>
      </c>
      <c r="E493" s="55" t="e">
        <f>VLOOKUP(Exam_07,AverageScores,b6_feedback,FALSE)</f>
        <v>#DIV/0!</v>
      </c>
      <c r="F493" s="55" t="e">
        <f>VLOOKUP(Exam_07,AverageScores,b6_feedback,FALSE)</f>
        <v>#DIV/0!</v>
      </c>
      <c r="G493" s="55" t="e">
        <f>VLOOKUP(Exam_07,AverageScores,b6_feedback,FALSE)</f>
        <v>#DIV/0!</v>
      </c>
    </row>
    <row r="494" spans="2:7" ht="13.5" customHeight="1">
      <c r="B494" s="51" t="s">
        <v>65</v>
      </c>
      <c r="C494" s="55" t="e">
        <f>VLOOKUP(Exam_07,AverageScores,b6_completeness,FALSE)</f>
        <v>#DIV/0!</v>
      </c>
      <c r="D494" s="55" t="e">
        <f>VLOOKUP(Exam_07,AverageScores,b6_completeness,FALSE)</f>
        <v>#DIV/0!</v>
      </c>
      <c r="E494" s="55" t="e">
        <f>VLOOKUP(Exam_07,AverageScores,b6_completeness,FALSE)</f>
        <v>#DIV/0!</v>
      </c>
      <c r="F494" s="55" t="e">
        <f>VLOOKUP(Exam_07,AverageScores,b6_completeness,FALSE)</f>
        <v>#DIV/0!</v>
      </c>
      <c r="G494" s="55" t="e">
        <f>VLOOKUP(Exam_07,AverageScores,b6_completeness,FALSE)</f>
        <v>#DIV/0!</v>
      </c>
    </row>
    <row r="495" spans="2:7" ht="13.5" customHeight="1">
      <c r="B495" s="51" t="s">
        <v>66</v>
      </c>
      <c r="C495" s="55">
        <f>VLOOKUP(Exam_07,ScoringAccuracyTable,b6_accuracy,FALSE)</f>
      </c>
      <c r="D495" s="55">
        <f>VLOOKUP(Exam_07,ScoringAccuracyTable,b6_accuracy,FALSE)</f>
      </c>
      <c r="E495" s="55">
        <f>VLOOKUP(Exam_07,ScoringAccuracyTable,b6_accuracy,FALSE)</f>
      </c>
      <c r="F495" s="55">
        <f>VLOOKUP(Exam_07,ScoringAccuracyTable,b6_accuracy,FALSE)</f>
      </c>
      <c r="G495" s="55">
        <f>VLOOKUP(Exam_07,ScoringAccuracyTable,b6_accuracy,FALSE)</f>
      </c>
    </row>
    <row r="498" spans="1:7" ht="13.5" customHeight="1">
      <c r="A498" s="131" t="s">
        <v>18</v>
      </c>
      <c r="B498" s="243" t="s">
        <v>70</v>
      </c>
      <c r="C498" s="243"/>
      <c r="D498" s="243"/>
      <c r="E498" s="243"/>
      <c r="F498" s="243"/>
      <c r="G498" s="243"/>
    </row>
    <row r="499" spans="1:7" ht="13.5" customHeight="1">
      <c r="A499" s="132">
        <f>Exam_08</f>
        <v>8</v>
      </c>
      <c r="B499" s="244"/>
      <c r="C499" s="244"/>
      <c r="D499" s="244"/>
      <c r="E499" s="244"/>
      <c r="F499" s="244"/>
      <c r="G499" s="244"/>
    </row>
    <row r="500" spans="2:7" ht="13.5" customHeight="1">
      <c r="B500" s="50" t="s">
        <v>68</v>
      </c>
      <c r="C500" s="54" t="s">
        <v>58</v>
      </c>
      <c r="D500" s="54" t="s">
        <v>59</v>
      </c>
      <c r="E500" s="54" t="s">
        <v>60</v>
      </c>
      <c r="F500" s="54" t="s">
        <v>61</v>
      </c>
      <c r="G500" s="54" t="s">
        <v>62</v>
      </c>
    </row>
    <row r="501" spans="2:7" ht="13.5" customHeight="1">
      <c r="B501" s="51" t="s">
        <v>63</v>
      </c>
      <c r="C501" s="55" t="e">
        <f>0.2*AVERAGE(VLOOKUP(Exam_08,Sum_Accuracy,9,FALSE),VLOOKUP(Exam_08,Sum_Accuracy,10,FALSE))</f>
        <v>#VALUE!</v>
      </c>
      <c r="D501" s="55" t="e">
        <f>0.2*AVERAGE(VLOOKUP(Exam_08,Sum_Accuracy,9,FALSE),VLOOKUP(Exam_08,Sum_Accuracy,10,FALSE))</f>
        <v>#VALUE!</v>
      </c>
      <c r="E501" s="55" t="e">
        <f>0.2*AVERAGE(VLOOKUP(Exam_08,Sum_Accuracy,9,FALSE),VLOOKUP(Exam_08,Sum_Accuracy,10,FALSE))</f>
        <v>#VALUE!</v>
      </c>
      <c r="F501" s="55" t="e">
        <f>0.2*AVERAGE(VLOOKUP(Exam_08,Sum_Accuracy,9,FALSE),VLOOKUP(Exam_08,Sum_Accuracy,10,FALSE))</f>
        <v>#VALUE!</v>
      </c>
      <c r="G501" s="55" t="e">
        <f>0.2*AVERAGE(VLOOKUP(Exam_08,Sum_Accuracy,9,FALSE),VLOOKUP(Exam_08,Sum_Accuracy,10,FALSE))</f>
        <v>#VALUE!</v>
      </c>
    </row>
    <row r="502" spans="2:7" ht="13.5" customHeight="1">
      <c r="B502" s="51" t="s">
        <v>69</v>
      </c>
      <c r="C502" s="55" t="e">
        <f>0.2*AVERAGE(VLOOKUP(Exam_08,Sum_Accuracy,11,FALSE),VLOOKUP(Exam_08,Sum_Accuracy,12,FALSE))</f>
        <v>#VALUE!</v>
      </c>
      <c r="D502" s="55" t="e">
        <f>0.2*AVERAGE(VLOOKUP(Exam_08,Sum_Accuracy,11,FALSE),VLOOKUP(Exam_08,Sum_Accuracy,12,FALSE))</f>
        <v>#VALUE!</v>
      </c>
      <c r="E502" s="55" t="e">
        <f>0.2*AVERAGE(VLOOKUP(Exam_08,Sum_Accuracy,11,FALSE),VLOOKUP(Exam_08,Sum_Accuracy,12,FALSE))</f>
        <v>#VALUE!</v>
      </c>
      <c r="F502" s="55" t="e">
        <f>0.2*AVERAGE(VLOOKUP(Exam_08,Sum_Accuracy,11,FALSE),VLOOKUP(Exam_08,Sum_Accuracy,12,FALSE))</f>
        <v>#VALUE!</v>
      </c>
      <c r="G502" s="55" t="e">
        <f>0.2*AVERAGE(VLOOKUP(Exam_08,Sum_Accuracy,11,FALSE),VLOOKUP(Exam_08,Sum_Accuracy,12,FALSE))</f>
        <v>#VALUE!</v>
      </c>
    </row>
    <row r="503" spans="2:7" ht="13.5" customHeight="1">
      <c r="B503" s="51" t="s">
        <v>64</v>
      </c>
      <c r="C503" s="55" t="e">
        <f>0.2*AVERAGE(VLOOKUP(Exam_08,Sum_Accuracy,13,FALSE),VLOOKUP(Exam_08,Sum_Accuracy,14,FALSE))</f>
        <v>#VALUE!</v>
      </c>
      <c r="D503" s="55" t="e">
        <f>0.2*AVERAGE(VLOOKUP(Exam_08,Sum_Accuracy,13,FALSE),VLOOKUP(Exam_08,Sum_Accuracy,14,FALSE))</f>
        <v>#VALUE!</v>
      </c>
      <c r="E503" s="55" t="e">
        <f>0.2*AVERAGE(VLOOKUP(Exam_08,Sum_Accuracy,13,FALSE),VLOOKUP(Exam_08,Sum_Accuracy,14,FALSE))</f>
        <v>#VALUE!</v>
      </c>
      <c r="F503" s="55" t="e">
        <f>0.2*AVERAGE(VLOOKUP(Exam_08,Sum_Accuracy,13,FALSE),VLOOKUP(Exam_08,Sum_Accuracy,14,FALSE))</f>
        <v>#VALUE!</v>
      </c>
      <c r="G503" s="55" t="e">
        <f>0.2*AVERAGE(VLOOKUP(Exam_08,Sum_Accuracy,13,FALSE),VLOOKUP(Exam_08,Sum_Accuracy,14,FALSE))</f>
        <v>#VALUE!</v>
      </c>
    </row>
    <row r="504" spans="2:7" ht="13.5" customHeight="1">
      <c r="B504" s="51" t="s">
        <v>65</v>
      </c>
      <c r="C504" s="55" t="e">
        <f>0.2*AVERAGE(VLOOKUP(Exam_08,Sum_Accuracy,15,FALSE),VLOOKUP(Exam_08,Sum_Accuracy,16,FALSE))</f>
        <v>#VALUE!</v>
      </c>
      <c r="D504" s="55" t="e">
        <f>0.2*AVERAGE(VLOOKUP(Exam_08,Sum_Accuracy,15,FALSE),VLOOKUP(Exam_08,Sum_Accuracy,16,FALSE))</f>
        <v>#VALUE!</v>
      </c>
      <c r="E504" s="55" t="e">
        <f>0.2*AVERAGE(VLOOKUP(Exam_08,Sum_Accuracy,15,FALSE),VLOOKUP(Exam_08,Sum_Accuracy,16,FALSE))</f>
        <v>#VALUE!</v>
      </c>
      <c r="F504" s="55" t="e">
        <f>0.2*AVERAGE(VLOOKUP(Exam_08,Sum_Accuracy,15,FALSE),VLOOKUP(Exam_08,Sum_Accuracy,16,FALSE))</f>
        <v>#VALUE!</v>
      </c>
      <c r="G504" s="55" t="e">
        <f>0.2*AVERAGE(VLOOKUP(Exam_08,Sum_Accuracy,15,FALSE),VLOOKUP(Exam_08,Sum_Accuracy,16,FALSE))</f>
        <v>#VALUE!</v>
      </c>
    </row>
    <row r="505" spans="2:7" ht="13.5" customHeight="1">
      <c r="B505" s="51" t="s">
        <v>66</v>
      </c>
      <c r="C505" s="55" t="e">
        <f>VLOOKUP(Exam_08,Sum_Accuracy,8,FALSE)/5</f>
        <v>#VALUE!</v>
      </c>
      <c r="D505" s="55" t="e">
        <f>VLOOKUP(Exam_08,Sum_Accuracy,8,FALSE)/5</f>
        <v>#VALUE!</v>
      </c>
      <c r="E505" s="55" t="e">
        <f>VLOOKUP(Exam_08,Sum_Accuracy,8,FALSE)/5</f>
        <v>#VALUE!</v>
      </c>
      <c r="F505" s="55" t="e">
        <f>VLOOKUP(Exam_08,Sum_Accuracy,8,FALSE)/5</f>
        <v>#VALUE!</v>
      </c>
      <c r="G505" s="55" t="e">
        <f>VLOOKUP(Exam_08,Sum_Accuracy,8,FALSE)/5</f>
        <v>#VALUE!</v>
      </c>
    </row>
    <row r="506" spans="2:7" ht="13.5" customHeight="1">
      <c r="B506" s="241"/>
      <c r="C506" s="241"/>
      <c r="D506" s="241"/>
      <c r="E506" s="241"/>
      <c r="F506" s="241"/>
      <c r="G506" s="241"/>
    </row>
    <row r="508" spans="2:7" ht="13.5" customHeight="1">
      <c r="B508" s="245" t="s">
        <v>67</v>
      </c>
      <c r="C508" s="245"/>
      <c r="D508" s="245"/>
      <c r="E508" s="245"/>
      <c r="F508" s="245"/>
      <c r="G508" s="245"/>
    </row>
    <row r="509" spans="2:7" ht="13.5" customHeight="1">
      <c r="B509" s="246"/>
      <c r="C509" s="246"/>
      <c r="D509" s="246"/>
      <c r="E509" s="246"/>
      <c r="F509" s="246"/>
      <c r="G509" s="246"/>
    </row>
    <row r="510" spans="2:7" ht="13.5" customHeight="1">
      <c r="B510" s="52" t="s">
        <v>71</v>
      </c>
      <c r="C510" s="242" t="str">
        <f>BeerName1</f>
        <v>Style1</v>
      </c>
      <c r="D510" s="242"/>
      <c r="E510" s="242"/>
      <c r="F510" s="242"/>
      <c r="G510" s="242"/>
    </row>
    <row r="511" spans="2:7" ht="13.5" customHeight="1">
      <c r="B511" s="241"/>
      <c r="C511" s="241"/>
      <c r="D511" s="241"/>
      <c r="E511" s="241"/>
      <c r="F511" s="241"/>
      <c r="G511" s="241"/>
    </row>
    <row r="512" spans="2:7" ht="13.5" customHeight="1">
      <c r="B512" s="50" t="s">
        <v>68</v>
      </c>
      <c r="C512" s="54" t="s">
        <v>58</v>
      </c>
      <c r="D512" s="54" t="s">
        <v>59</v>
      </c>
      <c r="E512" s="54" t="s">
        <v>60</v>
      </c>
      <c r="F512" s="54" t="s">
        <v>61</v>
      </c>
      <c r="G512" s="54" t="s">
        <v>62</v>
      </c>
    </row>
    <row r="513" spans="2:7" ht="13.5" customHeight="1">
      <c r="B513" s="51" t="s">
        <v>63</v>
      </c>
      <c r="C513" s="55" t="e">
        <f>VLOOKUP(Exam_08,AverageScores,b1_perception,FALSE)</f>
        <v>#DIV/0!</v>
      </c>
      <c r="D513" s="55" t="e">
        <f>VLOOKUP(Exam_08,AverageScores,b1_perception,FALSE)</f>
        <v>#DIV/0!</v>
      </c>
      <c r="E513" s="55" t="e">
        <f>VLOOKUP(Exam_08,AverageScores,b1_perception,FALSE)</f>
        <v>#DIV/0!</v>
      </c>
      <c r="F513" s="55" t="e">
        <f>VLOOKUP(Exam_08,AverageScores,b1_perception,FALSE)</f>
        <v>#DIV/0!</v>
      </c>
      <c r="G513" s="55" t="e">
        <f>VLOOKUP(Exam_08,AverageScores,b1_perception,FALSE)</f>
        <v>#DIV/0!</v>
      </c>
    </row>
    <row r="514" spans="2:7" ht="13.5" customHeight="1">
      <c r="B514" s="51" t="s">
        <v>69</v>
      </c>
      <c r="C514" s="55" t="e">
        <f>VLOOKUP(Exam_08,AverageScores,b1_descriptive,FALSE)</f>
        <v>#DIV/0!</v>
      </c>
      <c r="D514" s="55" t="e">
        <f>VLOOKUP(Exam_08,AverageScores,b1_descriptive,FALSE)</f>
        <v>#DIV/0!</v>
      </c>
      <c r="E514" s="55" t="e">
        <f>VLOOKUP(Exam_08,AverageScores,b1_descriptive,FALSE)</f>
        <v>#DIV/0!</v>
      </c>
      <c r="F514" s="55" t="e">
        <f>VLOOKUP(Exam_08,AverageScores,b1_descriptive,FALSE)</f>
        <v>#DIV/0!</v>
      </c>
      <c r="G514" s="55" t="e">
        <f>VLOOKUP(Exam_08,AverageScores,b1_descriptive,FALSE)</f>
        <v>#DIV/0!</v>
      </c>
    </row>
    <row r="515" spans="2:7" ht="13.5" customHeight="1">
      <c r="B515" s="51" t="s">
        <v>64</v>
      </c>
      <c r="C515" s="55" t="e">
        <f>VLOOKUP(Exam_08,AverageScores,b1_feedback,FALSE)</f>
        <v>#DIV/0!</v>
      </c>
      <c r="D515" s="55" t="e">
        <f>VLOOKUP(Exam_08,AverageScores,b1_feedback,FALSE)</f>
        <v>#DIV/0!</v>
      </c>
      <c r="E515" s="55" t="e">
        <f>VLOOKUP(Exam_08,AverageScores,b1_feedback,FALSE)</f>
        <v>#DIV/0!</v>
      </c>
      <c r="F515" s="55" t="e">
        <f>VLOOKUP(Exam_08,AverageScores,b1_feedback,FALSE)</f>
        <v>#DIV/0!</v>
      </c>
      <c r="G515" s="55" t="e">
        <f>VLOOKUP(Exam_08,AverageScores,b1_feedback,FALSE)</f>
        <v>#DIV/0!</v>
      </c>
    </row>
    <row r="516" spans="2:7" ht="13.5" customHeight="1">
      <c r="B516" s="51" t="s">
        <v>65</v>
      </c>
      <c r="C516" s="55" t="e">
        <f>VLOOKUP(Exam_08,AverageScores,b1_completeness,FALSE)</f>
        <v>#DIV/0!</v>
      </c>
      <c r="D516" s="55" t="e">
        <f>VLOOKUP(Exam_08,AverageScores,b1_completeness,FALSE)</f>
        <v>#DIV/0!</v>
      </c>
      <c r="E516" s="55" t="e">
        <f>VLOOKUP(Exam_08,AverageScores,b1_completeness,FALSE)</f>
        <v>#DIV/0!</v>
      </c>
      <c r="F516" s="55" t="e">
        <f>VLOOKUP(Exam_08,AverageScores,b1_completeness,FALSE)</f>
        <v>#DIV/0!</v>
      </c>
      <c r="G516" s="55" t="e">
        <f>VLOOKUP(Exam_08,AverageScores,b1_completeness,FALSE)</f>
        <v>#DIV/0!</v>
      </c>
    </row>
    <row r="517" spans="2:7" ht="13.5" customHeight="1">
      <c r="B517" s="51" t="s">
        <v>66</v>
      </c>
      <c r="C517" s="55">
        <f>VLOOKUP(Exam_08,ScoringAccuracyTable,b1_accuracy,FALSE)</f>
      </c>
      <c r="D517" s="55">
        <f>VLOOKUP(Exam_08,ScoringAccuracyTable,b1_accuracy,FALSE)</f>
      </c>
      <c r="E517" s="55">
        <f>VLOOKUP(Exam_08,ScoringAccuracyTable,b1_accuracy,FALSE)</f>
      </c>
      <c r="F517" s="55">
        <f>VLOOKUP(Exam_08,ScoringAccuracyTable,b1_accuracy,FALSE)</f>
      </c>
      <c r="G517" s="55">
        <f>VLOOKUP(Exam_08,ScoringAccuracyTable,b1_accuracy,FALSE)</f>
      </c>
    </row>
    <row r="518" spans="2:7" ht="13.5" customHeight="1">
      <c r="B518" s="241"/>
      <c r="C518" s="241"/>
      <c r="D518" s="241"/>
      <c r="E518" s="241"/>
      <c r="F518" s="241"/>
      <c r="G518" s="241"/>
    </row>
    <row r="519" spans="2:7" ht="13.5" customHeight="1">
      <c r="B519" s="52" t="s">
        <v>72</v>
      </c>
      <c r="C519" s="242" t="str">
        <f>BeerName2</f>
        <v>Style2</v>
      </c>
      <c r="D519" s="242"/>
      <c r="E519" s="242"/>
      <c r="F519" s="242"/>
      <c r="G519" s="242"/>
    </row>
    <row r="520" spans="2:7" ht="13.5" customHeight="1">
      <c r="B520" s="247"/>
      <c r="C520" s="247"/>
      <c r="D520" s="247"/>
      <c r="E520" s="247"/>
      <c r="F520" s="247"/>
      <c r="G520" s="247"/>
    </row>
    <row r="521" spans="2:7" ht="13.5" customHeight="1">
      <c r="B521" s="50" t="s">
        <v>68</v>
      </c>
      <c r="C521" s="56" t="s">
        <v>58</v>
      </c>
      <c r="D521" s="56" t="s">
        <v>59</v>
      </c>
      <c r="E521" s="56" t="s">
        <v>60</v>
      </c>
      <c r="F521" s="56" t="s">
        <v>61</v>
      </c>
      <c r="G521" s="56" t="s">
        <v>62</v>
      </c>
    </row>
    <row r="522" spans="2:7" ht="13.5" customHeight="1">
      <c r="B522" s="51" t="s">
        <v>63</v>
      </c>
      <c r="C522" s="55" t="e">
        <f>VLOOKUP(Exam_08,AverageScores,b2_perceptive,FALSE)</f>
        <v>#DIV/0!</v>
      </c>
      <c r="D522" s="55" t="e">
        <f>VLOOKUP(Exam_08,AverageScores,b2_perceptive,FALSE)</f>
        <v>#DIV/0!</v>
      </c>
      <c r="E522" s="55" t="e">
        <f>VLOOKUP(Exam_08,AverageScores,b2_perceptive,FALSE)</f>
        <v>#DIV/0!</v>
      </c>
      <c r="F522" s="55" t="e">
        <f>VLOOKUP(Exam_08,AverageScores,b2_perceptive,FALSE)</f>
        <v>#DIV/0!</v>
      </c>
      <c r="G522" s="55" t="e">
        <f>VLOOKUP(Exam_08,AverageScores,b2_perceptive,FALSE)</f>
        <v>#DIV/0!</v>
      </c>
    </row>
    <row r="523" spans="2:7" ht="13.5" customHeight="1">
      <c r="B523" s="51" t="s">
        <v>69</v>
      </c>
      <c r="C523" s="55" t="e">
        <f>VLOOKUP(Exam_08,AverageScores,b2_descriptive,FALSE)</f>
        <v>#DIV/0!</v>
      </c>
      <c r="D523" s="55" t="e">
        <f>VLOOKUP(Exam_08,AverageScores,b2_descriptive,FALSE)</f>
        <v>#DIV/0!</v>
      </c>
      <c r="E523" s="55" t="e">
        <f>VLOOKUP(Exam_08,AverageScores,b2_descriptive,FALSE)</f>
        <v>#DIV/0!</v>
      </c>
      <c r="F523" s="55" t="e">
        <f>VLOOKUP(Exam_08,AverageScores,b2_descriptive,FALSE)</f>
        <v>#DIV/0!</v>
      </c>
      <c r="G523" s="55" t="e">
        <f>VLOOKUP(Exam_08,AverageScores,b2_descriptive,FALSE)</f>
        <v>#DIV/0!</v>
      </c>
    </row>
    <row r="524" spans="2:7" ht="13.5" customHeight="1">
      <c r="B524" s="51" t="s">
        <v>64</v>
      </c>
      <c r="C524" s="55" t="e">
        <f>VLOOKUP(Exam_08,AverageScores,b2_feedback,FALSE)</f>
        <v>#DIV/0!</v>
      </c>
      <c r="D524" s="55" t="e">
        <f>VLOOKUP(Exam_08,AverageScores,b2_feedback,FALSE)</f>
        <v>#DIV/0!</v>
      </c>
      <c r="E524" s="55" t="e">
        <f>VLOOKUP(Exam_08,AverageScores,b2_feedback,FALSE)</f>
        <v>#DIV/0!</v>
      </c>
      <c r="F524" s="55" t="e">
        <f>VLOOKUP(Exam_08,AverageScores,b2_feedback,FALSE)</f>
        <v>#DIV/0!</v>
      </c>
      <c r="G524" s="55" t="e">
        <f>VLOOKUP(Exam_08,AverageScores,b2_feedback,FALSE)</f>
        <v>#DIV/0!</v>
      </c>
    </row>
    <row r="525" spans="2:7" ht="13.5" customHeight="1">
      <c r="B525" s="51" t="s">
        <v>65</v>
      </c>
      <c r="C525" s="55" t="e">
        <f>VLOOKUP(Exam_08,AverageScores,b2_completeness,FALSE)</f>
        <v>#DIV/0!</v>
      </c>
      <c r="D525" s="55" t="e">
        <f>VLOOKUP(Exam_08,AverageScores,b2_completeness,FALSE)</f>
        <v>#DIV/0!</v>
      </c>
      <c r="E525" s="55" t="e">
        <f>VLOOKUP(Exam_08,AverageScores,b2_completeness,FALSE)</f>
        <v>#DIV/0!</v>
      </c>
      <c r="F525" s="55" t="e">
        <f>VLOOKUP(Exam_08,AverageScores,b2_completeness,FALSE)</f>
        <v>#DIV/0!</v>
      </c>
      <c r="G525" s="55" t="e">
        <f>VLOOKUP(Exam_08,AverageScores,b2_completeness,FALSE)</f>
        <v>#DIV/0!</v>
      </c>
    </row>
    <row r="526" spans="2:7" ht="13.5" customHeight="1">
      <c r="B526" s="51" t="s">
        <v>66</v>
      </c>
      <c r="C526" s="55">
        <f>VLOOKUP(Exam_08,ScoringAccuracyTable,b2_accuracy,FALSE)</f>
      </c>
      <c r="D526" s="55">
        <f>VLOOKUP(Exam_08,ScoringAccuracyTable,b2_accuracy,FALSE)</f>
      </c>
      <c r="E526" s="55">
        <f>VLOOKUP(Exam_08,ScoringAccuracyTable,b2_accuracy,FALSE)</f>
      </c>
      <c r="F526" s="55">
        <f>VLOOKUP(Exam_08,ScoringAccuracyTable,b2_accuracy,FALSE)</f>
      </c>
      <c r="G526" s="55">
        <f>VLOOKUP(Exam_08,ScoringAccuracyTable,b2_accuracy,FALSE)</f>
      </c>
    </row>
    <row r="527" spans="2:7" ht="13.5" customHeight="1">
      <c r="B527" s="241"/>
      <c r="C527" s="241"/>
      <c r="D527" s="241"/>
      <c r="E527" s="241"/>
      <c r="F527" s="241"/>
      <c r="G527" s="241"/>
    </row>
    <row r="528" spans="2:7" ht="13.5" customHeight="1">
      <c r="B528" s="52" t="s">
        <v>76</v>
      </c>
      <c r="C528" s="242" t="str">
        <f>BeerName3</f>
        <v>Style3</v>
      </c>
      <c r="D528" s="242"/>
      <c r="E528" s="242"/>
      <c r="F528" s="242"/>
      <c r="G528" s="242"/>
    </row>
    <row r="529" spans="2:7" ht="13.5" customHeight="1">
      <c r="B529" s="247"/>
      <c r="C529" s="247"/>
      <c r="D529" s="247"/>
      <c r="E529" s="247"/>
      <c r="F529" s="247"/>
      <c r="G529" s="247"/>
    </row>
    <row r="530" spans="2:7" ht="13.5" customHeight="1">
      <c r="B530" s="50" t="s">
        <v>68</v>
      </c>
      <c r="C530" s="54" t="s">
        <v>58</v>
      </c>
      <c r="D530" s="54" t="s">
        <v>59</v>
      </c>
      <c r="E530" s="54" t="s">
        <v>60</v>
      </c>
      <c r="F530" s="54" t="s">
        <v>61</v>
      </c>
      <c r="G530" s="54" t="s">
        <v>62</v>
      </c>
    </row>
    <row r="531" spans="2:7" ht="13.5" customHeight="1">
      <c r="B531" s="51" t="s">
        <v>63</v>
      </c>
      <c r="C531" s="55" t="e">
        <f>VLOOKUP(Exam_08,AverageScores,b3_perception,FALSE)</f>
        <v>#DIV/0!</v>
      </c>
      <c r="D531" s="55" t="e">
        <f>VLOOKUP(Exam_08,AverageScores,b3_perception,FALSE)</f>
        <v>#DIV/0!</v>
      </c>
      <c r="E531" s="55" t="e">
        <f>VLOOKUP(Exam_08,AverageScores,b3_perception,FALSE)</f>
        <v>#DIV/0!</v>
      </c>
      <c r="F531" s="55" t="e">
        <f>VLOOKUP(Exam_08,AverageScores,b3_perception,FALSE)</f>
        <v>#DIV/0!</v>
      </c>
      <c r="G531" s="55" t="e">
        <f>VLOOKUP(Exam_08,AverageScores,b3_perception,FALSE)</f>
        <v>#DIV/0!</v>
      </c>
    </row>
    <row r="532" spans="2:7" ht="13.5" customHeight="1">
      <c r="B532" s="51" t="s">
        <v>69</v>
      </c>
      <c r="C532" s="55" t="e">
        <f>VLOOKUP(Exam_08,AverageScores,b3_descriptive,FALSE)</f>
        <v>#DIV/0!</v>
      </c>
      <c r="D532" s="55" t="e">
        <f>VLOOKUP(Exam_08,AverageScores,b3_descriptive,FALSE)</f>
        <v>#DIV/0!</v>
      </c>
      <c r="E532" s="55" t="e">
        <f>VLOOKUP(Exam_08,AverageScores,b3_descriptive,FALSE)</f>
        <v>#DIV/0!</v>
      </c>
      <c r="F532" s="55" t="e">
        <f>VLOOKUP(Exam_08,AverageScores,b3_descriptive,FALSE)</f>
        <v>#DIV/0!</v>
      </c>
      <c r="G532" s="55" t="e">
        <f>VLOOKUP(Exam_08,AverageScores,b3_descriptive,FALSE)</f>
        <v>#DIV/0!</v>
      </c>
    </row>
    <row r="533" spans="2:7" ht="13.5" customHeight="1">
      <c r="B533" s="51" t="s">
        <v>64</v>
      </c>
      <c r="C533" s="55" t="e">
        <f>VLOOKUP(Exam_08,AverageScores,b3_feedback,FALSE)</f>
        <v>#DIV/0!</v>
      </c>
      <c r="D533" s="55" t="e">
        <f>VLOOKUP(Exam_08,AverageScores,b3_feedback,FALSE)</f>
        <v>#DIV/0!</v>
      </c>
      <c r="E533" s="55" t="e">
        <f>VLOOKUP(Exam_08,AverageScores,b3_feedback,FALSE)</f>
        <v>#DIV/0!</v>
      </c>
      <c r="F533" s="55" t="e">
        <f>VLOOKUP(Exam_08,AverageScores,b3_feedback,FALSE)</f>
        <v>#DIV/0!</v>
      </c>
      <c r="G533" s="55" t="e">
        <f>VLOOKUP(Exam_08,AverageScores,b3_feedback,FALSE)</f>
        <v>#DIV/0!</v>
      </c>
    </row>
    <row r="534" spans="2:7" ht="13.5" customHeight="1">
      <c r="B534" s="51" t="s">
        <v>65</v>
      </c>
      <c r="C534" s="55" t="e">
        <f>VLOOKUP(Exam_08,AverageScores,b3_completeness,FALSE)</f>
        <v>#DIV/0!</v>
      </c>
      <c r="D534" s="55" t="e">
        <f>VLOOKUP(Exam_08,AverageScores,b3_completeness,FALSE)</f>
        <v>#DIV/0!</v>
      </c>
      <c r="E534" s="55" t="e">
        <f>VLOOKUP(Exam_08,AverageScores,b3_completeness,FALSE)</f>
        <v>#DIV/0!</v>
      </c>
      <c r="F534" s="55" t="e">
        <f>VLOOKUP(Exam_08,AverageScores,b3_completeness,FALSE)</f>
        <v>#DIV/0!</v>
      </c>
      <c r="G534" s="55" t="e">
        <f>VLOOKUP(Exam_08,AverageScores,b3_completeness,FALSE)</f>
        <v>#DIV/0!</v>
      </c>
    </row>
    <row r="535" spans="2:7" ht="13.5" customHeight="1">
      <c r="B535" s="51" t="s">
        <v>66</v>
      </c>
      <c r="C535" s="55">
        <f>VLOOKUP(Exam_08,ScoringAccuracyTable,b3_accuracy,FALSE)</f>
      </c>
      <c r="D535" s="55">
        <f>VLOOKUP(Exam_08,ScoringAccuracyTable,b3_accuracy,FALSE)</f>
      </c>
      <c r="E535" s="55">
        <f>VLOOKUP(Exam_08,ScoringAccuracyTable,b3_accuracy,FALSE)</f>
      </c>
      <c r="F535" s="55">
        <f>VLOOKUP(Exam_08,ScoringAccuracyTable,b3_accuracy,FALSE)</f>
      </c>
      <c r="G535" s="55">
        <f>VLOOKUP(Exam_08,ScoringAccuracyTable,b3_accuracy,FALSE)</f>
      </c>
    </row>
    <row r="536" spans="2:7" ht="13.5" customHeight="1">
      <c r="B536" s="241"/>
      <c r="C536" s="241"/>
      <c r="D536" s="241"/>
      <c r="E536" s="241"/>
      <c r="F536" s="241"/>
      <c r="G536" s="241"/>
    </row>
    <row r="537" spans="2:7" ht="13.5" customHeight="1">
      <c r="B537" s="52" t="s">
        <v>75</v>
      </c>
      <c r="C537" s="242" t="str">
        <f>BeerName4</f>
        <v>Style4</v>
      </c>
      <c r="D537" s="242"/>
      <c r="E537" s="242"/>
      <c r="F537" s="242"/>
      <c r="G537" s="242"/>
    </row>
    <row r="538" spans="2:7" ht="13.5" customHeight="1">
      <c r="B538" s="241"/>
      <c r="C538" s="241"/>
      <c r="D538" s="241"/>
      <c r="E538" s="241"/>
      <c r="F538" s="241"/>
      <c r="G538" s="241"/>
    </row>
    <row r="539" spans="2:7" ht="13.5" customHeight="1">
      <c r="B539" s="50" t="s">
        <v>68</v>
      </c>
      <c r="C539" s="54" t="s">
        <v>58</v>
      </c>
      <c r="D539" s="54" t="s">
        <v>59</v>
      </c>
      <c r="E539" s="54" t="s">
        <v>60</v>
      </c>
      <c r="F539" s="54" t="s">
        <v>61</v>
      </c>
      <c r="G539" s="54" t="s">
        <v>62</v>
      </c>
    </row>
    <row r="540" spans="2:7" ht="13.5" customHeight="1">
      <c r="B540" s="51" t="s">
        <v>63</v>
      </c>
      <c r="C540" s="55" t="e">
        <f>VLOOKUP(Exam_08,AverageScores,b4_perception,FALSE)</f>
        <v>#DIV/0!</v>
      </c>
      <c r="D540" s="55" t="e">
        <f>VLOOKUP(Exam_08,AverageScores,b4_perception,FALSE)</f>
        <v>#DIV/0!</v>
      </c>
      <c r="E540" s="55" t="e">
        <f>VLOOKUP(Exam_08,AverageScores,b4_perception,FALSE)</f>
        <v>#DIV/0!</v>
      </c>
      <c r="F540" s="55" t="e">
        <f>VLOOKUP(Exam_08,AverageScores,b4_perception,FALSE)</f>
        <v>#DIV/0!</v>
      </c>
      <c r="G540" s="55" t="e">
        <f>VLOOKUP(Exam_08,AverageScores,b4_perception,FALSE)</f>
        <v>#DIV/0!</v>
      </c>
    </row>
    <row r="541" spans="2:7" ht="13.5" customHeight="1">
      <c r="B541" s="51" t="s">
        <v>69</v>
      </c>
      <c r="C541" s="55" t="e">
        <f>VLOOKUP(Exam_08,AverageScores,b4_descriptive,FALSE)</f>
        <v>#DIV/0!</v>
      </c>
      <c r="D541" s="55" t="e">
        <f>VLOOKUP(Exam_08,AverageScores,b4_descriptive,FALSE)</f>
        <v>#DIV/0!</v>
      </c>
      <c r="E541" s="55" t="e">
        <f>VLOOKUP(Exam_08,AverageScores,b4_descriptive,FALSE)</f>
        <v>#DIV/0!</v>
      </c>
      <c r="F541" s="55" t="e">
        <f>VLOOKUP(Exam_08,AverageScores,b4_descriptive,FALSE)</f>
        <v>#DIV/0!</v>
      </c>
      <c r="G541" s="55" t="e">
        <f>VLOOKUP(Exam_08,AverageScores,b4_descriptive,FALSE)</f>
        <v>#DIV/0!</v>
      </c>
    </row>
    <row r="542" spans="2:7" ht="13.5" customHeight="1">
      <c r="B542" s="51" t="s">
        <v>64</v>
      </c>
      <c r="C542" s="55" t="e">
        <f>VLOOKUP(Exam_08,AverageScores,b4_feedback,FALSE)</f>
        <v>#DIV/0!</v>
      </c>
      <c r="D542" s="55" t="e">
        <f>VLOOKUP(Exam_08,AverageScores,b4_feedback,FALSE)</f>
        <v>#DIV/0!</v>
      </c>
      <c r="E542" s="55" t="e">
        <f>VLOOKUP(Exam_08,AverageScores,b4_feedback,FALSE)</f>
        <v>#DIV/0!</v>
      </c>
      <c r="F542" s="55" t="e">
        <f>VLOOKUP(Exam_08,AverageScores,b4_feedback,FALSE)</f>
        <v>#DIV/0!</v>
      </c>
      <c r="G542" s="55" t="e">
        <f>VLOOKUP(Exam_08,AverageScores,b4_feedback,FALSE)</f>
        <v>#DIV/0!</v>
      </c>
    </row>
    <row r="543" spans="2:7" ht="13.5" customHeight="1">
      <c r="B543" s="51" t="s">
        <v>65</v>
      </c>
      <c r="C543" s="55" t="e">
        <f>VLOOKUP(Exam_08,AverageScores,b4_completeness,FALSE)</f>
        <v>#DIV/0!</v>
      </c>
      <c r="D543" s="55" t="e">
        <f>VLOOKUP(Exam_08,AverageScores,b4_completeness,FALSE)</f>
        <v>#DIV/0!</v>
      </c>
      <c r="E543" s="55" t="e">
        <f>VLOOKUP(Exam_08,AverageScores,b4_completeness,FALSE)</f>
        <v>#DIV/0!</v>
      </c>
      <c r="F543" s="55" t="e">
        <f>VLOOKUP(Exam_08,AverageScores,b4_completeness,FALSE)</f>
        <v>#DIV/0!</v>
      </c>
      <c r="G543" s="55" t="e">
        <f>VLOOKUP(Exam_08,AverageScores,b4_completeness,FALSE)</f>
        <v>#DIV/0!</v>
      </c>
    </row>
    <row r="544" spans="2:7" ht="13.5" customHeight="1">
      <c r="B544" s="51" t="s">
        <v>66</v>
      </c>
      <c r="C544" s="55">
        <f>VLOOKUP(Exam_08,ScoringAccuracyTable,b4_accuracy,FALSE)</f>
      </c>
      <c r="D544" s="55">
        <f>VLOOKUP(Exam_08,ScoringAccuracyTable,b4_accuracy,FALSE)</f>
      </c>
      <c r="E544" s="55">
        <f>VLOOKUP(Exam_08,ScoringAccuracyTable,b4_accuracy,FALSE)</f>
      </c>
      <c r="F544" s="55">
        <f>VLOOKUP(Exam_08,ScoringAccuracyTable,b4_accuracy,FALSE)</f>
      </c>
      <c r="G544" s="55">
        <f>VLOOKUP(Exam_08,ScoringAccuracyTable,b4_accuracy,FALSE)</f>
      </c>
    </row>
    <row r="545" spans="2:7" ht="13.5" customHeight="1">
      <c r="B545" s="241"/>
      <c r="C545" s="241"/>
      <c r="D545" s="241"/>
      <c r="E545" s="241"/>
      <c r="F545" s="241"/>
      <c r="G545" s="241"/>
    </row>
    <row r="550" spans="2:7" ht="13.5" customHeight="1">
      <c r="B550" s="52" t="s">
        <v>74</v>
      </c>
      <c r="C550" s="242" t="str">
        <f>BeerName5</f>
        <v>Style5</v>
      </c>
      <c r="D550" s="242"/>
      <c r="E550" s="242"/>
      <c r="F550" s="242"/>
      <c r="G550" s="242"/>
    </row>
    <row r="551" spans="2:7" ht="13.5" customHeight="1">
      <c r="B551" s="241"/>
      <c r="C551" s="241"/>
      <c r="D551" s="241"/>
      <c r="E551" s="241"/>
      <c r="F551" s="241"/>
      <c r="G551" s="241"/>
    </row>
    <row r="552" spans="2:7" ht="13.5" customHeight="1">
      <c r="B552" s="50" t="s">
        <v>68</v>
      </c>
      <c r="C552" s="54" t="s">
        <v>58</v>
      </c>
      <c r="D552" s="54" t="s">
        <v>59</v>
      </c>
      <c r="E552" s="54" t="s">
        <v>60</v>
      </c>
      <c r="F552" s="54" t="s">
        <v>61</v>
      </c>
      <c r="G552" s="54" t="s">
        <v>62</v>
      </c>
    </row>
    <row r="553" spans="2:7" ht="13.5" customHeight="1">
      <c r="B553" s="51" t="s">
        <v>63</v>
      </c>
      <c r="C553" s="55" t="e">
        <f>VLOOKUP(Exam_08,AverageScores,b5_perception,FALSE)</f>
        <v>#DIV/0!</v>
      </c>
      <c r="D553" s="55" t="e">
        <f>VLOOKUP(Exam_08,AverageScores,b5_perception,FALSE)</f>
        <v>#DIV/0!</v>
      </c>
      <c r="E553" s="55" t="e">
        <f>VLOOKUP(Exam_08,AverageScores,b5_perception,FALSE)</f>
        <v>#DIV/0!</v>
      </c>
      <c r="F553" s="55" t="e">
        <f>VLOOKUP(Exam_08,AverageScores,b5_perception,FALSE)</f>
        <v>#DIV/0!</v>
      </c>
      <c r="G553" s="55" t="e">
        <f>VLOOKUP(Exam_08,AverageScores,b5_perception,FALSE)</f>
        <v>#DIV/0!</v>
      </c>
    </row>
    <row r="554" spans="2:7" ht="13.5" customHeight="1">
      <c r="B554" s="51" t="s">
        <v>69</v>
      </c>
      <c r="C554" s="55" t="e">
        <f>VLOOKUP(Exam_08,AverageScores,b5_descriptive,FALSE)</f>
        <v>#DIV/0!</v>
      </c>
      <c r="D554" s="55" t="e">
        <f>VLOOKUP(Exam_08,AverageScores,b5_descriptive,FALSE)</f>
        <v>#DIV/0!</v>
      </c>
      <c r="E554" s="55" t="e">
        <f>VLOOKUP(Exam_08,AverageScores,b5_descriptive,FALSE)</f>
        <v>#DIV/0!</v>
      </c>
      <c r="F554" s="55" t="e">
        <f>VLOOKUP(Exam_08,AverageScores,b5_descriptive,FALSE)</f>
        <v>#DIV/0!</v>
      </c>
      <c r="G554" s="55" t="e">
        <f>VLOOKUP(Exam_08,AverageScores,b5_descriptive,FALSE)</f>
        <v>#DIV/0!</v>
      </c>
    </row>
    <row r="555" spans="2:7" ht="13.5" customHeight="1">
      <c r="B555" s="51" t="s">
        <v>64</v>
      </c>
      <c r="C555" s="55" t="e">
        <f>VLOOKUP(Exam_08,AverageScores,b5_feedback,FALSE)</f>
        <v>#DIV/0!</v>
      </c>
      <c r="D555" s="55" t="e">
        <f>VLOOKUP(Exam_08,AverageScores,b5_feedback,FALSE)</f>
        <v>#DIV/0!</v>
      </c>
      <c r="E555" s="55" t="e">
        <f>VLOOKUP(Exam_08,AverageScores,b5_feedback,FALSE)</f>
        <v>#DIV/0!</v>
      </c>
      <c r="F555" s="55" t="e">
        <f>VLOOKUP(Exam_08,AverageScores,b5_feedback,FALSE)</f>
        <v>#DIV/0!</v>
      </c>
      <c r="G555" s="55" t="e">
        <f>VLOOKUP(Exam_08,AverageScores,b5_feedback,FALSE)</f>
        <v>#DIV/0!</v>
      </c>
    </row>
    <row r="556" spans="2:7" ht="13.5" customHeight="1">
      <c r="B556" s="51" t="s">
        <v>65</v>
      </c>
      <c r="C556" s="55" t="e">
        <f>VLOOKUP(Exam_08,AverageScores,b5_completeness,FALSE)</f>
        <v>#DIV/0!</v>
      </c>
      <c r="D556" s="55" t="e">
        <f>VLOOKUP(Exam_08,AverageScores,b5_completeness,FALSE)</f>
        <v>#DIV/0!</v>
      </c>
      <c r="E556" s="55" t="e">
        <f>VLOOKUP(Exam_08,AverageScores,b5_completeness,FALSE)</f>
        <v>#DIV/0!</v>
      </c>
      <c r="F556" s="55" t="e">
        <f>VLOOKUP(Exam_08,AverageScores,b5_completeness,FALSE)</f>
        <v>#DIV/0!</v>
      </c>
      <c r="G556" s="55" t="e">
        <f>VLOOKUP(Exam_08,AverageScores,b5_completeness,FALSE)</f>
        <v>#DIV/0!</v>
      </c>
    </row>
    <row r="557" spans="2:7" ht="13.5" customHeight="1">
      <c r="B557" s="51" t="s">
        <v>66</v>
      </c>
      <c r="C557" s="55">
        <f>VLOOKUP(Exam_08,ScoringAccuracyTable,b5_accuracy,FALSE)</f>
      </c>
      <c r="D557" s="55">
        <f>VLOOKUP(Exam_08,ScoringAccuracyTable,b5_accuracy,FALSE)</f>
      </c>
      <c r="E557" s="55">
        <f>VLOOKUP(Exam_08,ScoringAccuracyTable,b5_accuracy,FALSE)</f>
      </c>
      <c r="F557" s="55">
        <f>VLOOKUP(Exam_08,ScoringAccuracyTable,b5_accuracy,FALSE)</f>
      </c>
      <c r="G557" s="55">
        <f>VLOOKUP(Exam_08,ScoringAccuracyTable,b5_accuracy,FALSE)</f>
      </c>
    </row>
    <row r="558" spans="2:7" ht="13.5" customHeight="1">
      <c r="B558" s="241"/>
      <c r="C558" s="241"/>
      <c r="D558" s="241"/>
      <c r="E558" s="241"/>
      <c r="F558" s="241"/>
      <c r="G558" s="241"/>
    </row>
    <row r="559" spans="2:7" ht="13.5" customHeight="1">
      <c r="B559" s="52" t="s">
        <v>73</v>
      </c>
      <c r="C559" s="242" t="str">
        <f>BeerName6</f>
        <v>Style6</v>
      </c>
      <c r="D559" s="242"/>
      <c r="E559" s="242"/>
      <c r="F559" s="242"/>
      <c r="G559" s="242"/>
    </row>
    <row r="560" spans="2:7" ht="13.5" customHeight="1">
      <c r="B560" s="241"/>
      <c r="C560" s="241"/>
      <c r="D560" s="241"/>
      <c r="E560" s="241"/>
      <c r="F560" s="241"/>
      <c r="G560" s="241"/>
    </row>
    <row r="561" spans="2:7" ht="13.5" customHeight="1">
      <c r="B561" s="50" t="s">
        <v>68</v>
      </c>
      <c r="C561" s="54" t="s">
        <v>58</v>
      </c>
      <c r="D561" s="54" t="s">
        <v>59</v>
      </c>
      <c r="E561" s="54" t="s">
        <v>60</v>
      </c>
      <c r="F561" s="54" t="s">
        <v>61</v>
      </c>
      <c r="G561" s="54" t="s">
        <v>62</v>
      </c>
    </row>
    <row r="562" spans="2:7" ht="13.5" customHeight="1">
      <c r="B562" s="51" t="s">
        <v>63</v>
      </c>
      <c r="C562" s="55" t="e">
        <f>VLOOKUP(Exam_08,AverageScores,b6_perception,FALSE)</f>
        <v>#DIV/0!</v>
      </c>
      <c r="D562" s="55" t="e">
        <f>VLOOKUP(Exam_08,AverageScores,b6_perception,FALSE)</f>
        <v>#DIV/0!</v>
      </c>
      <c r="E562" s="55" t="e">
        <f>VLOOKUP(Exam_08,AverageScores,b6_perception,FALSE)</f>
        <v>#DIV/0!</v>
      </c>
      <c r="F562" s="55" t="e">
        <f>VLOOKUP(Exam_08,AverageScores,b6_perception,FALSE)</f>
        <v>#DIV/0!</v>
      </c>
      <c r="G562" s="55" t="e">
        <f>VLOOKUP(Exam_08,AverageScores,b6_perception,FALSE)</f>
        <v>#DIV/0!</v>
      </c>
    </row>
    <row r="563" spans="2:7" ht="13.5" customHeight="1">
      <c r="B563" s="51" t="s">
        <v>69</v>
      </c>
      <c r="C563" s="55" t="e">
        <f>VLOOKUP(Exam_08,AverageScores,b6_descriptive,FALSE)</f>
        <v>#DIV/0!</v>
      </c>
      <c r="D563" s="55" t="e">
        <f>VLOOKUP(Exam_08,AverageScores,b6_descriptive,FALSE)</f>
        <v>#DIV/0!</v>
      </c>
      <c r="E563" s="55" t="e">
        <f>VLOOKUP(Exam_08,AverageScores,b6_descriptive,FALSE)</f>
        <v>#DIV/0!</v>
      </c>
      <c r="F563" s="55" t="e">
        <f>VLOOKUP(Exam_08,AverageScores,b6_descriptive,FALSE)</f>
        <v>#DIV/0!</v>
      </c>
      <c r="G563" s="55" t="e">
        <f>VLOOKUP(Exam_08,AverageScores,b6_descriptive,FALSE)</f>
        <v>#DIV/0!</v>
      </c>
    </row>
    <row r="564" spans="2:7" ht="13.5" customHeight="1">
      <c r="B564" s="51" t="s">
        <v>64</v>
      </c>
      <c r="C564" s="55" t="e">
        <f>VLOOKUP(Exam_08,AverageScores,b6_feedback,FALSE)</f>
        <v>#DIV/0!</v>
      </c>
      <c r="D564" s="55" t="e">
        <f>VLOOKUP(Exam_08,AverageScores,b6_feedback,FALSE)</f>
        <v>#DIV/0!</v>
      </c>
      <c r="E564" s="55" t="e">
        <f>VLOOKUP(Exam_08,AverageScores,b6_feedback,FALSE)</f>
        <v>#DIV/0!</v>
      </c>
      <c r="F564" s="55" t="e">
        <f>VLOOKUP(Exam_08,AverageScores,b6_feedback,FALSE)</f>
        <v>#DIV/0!</v>
      </c>
      <c r="G564" s="55" t="e">
        <f>VLOOKUP(Exam_08,AverageScores,b6_feedback,FALSE)</f>
        <v>#DIV/0!</v>
      </c>
    </row>
    <row r="565" spans="2:7" ht="13.5" customHeight="1">
      <c r="B565" s="51" t="s">
        <v>65</v>
      </c>
      <c r="C565" s="55" t="e">
        <f>VLOOKUP(Exam_08,AverageScores,b6_completeness,FALSE)</f>
        <v>#DIV/0!</v>
      </c>
      <c r="D565" s="55" t="e">
        <f>VLOOKUP(Exam_08,AverageScores,b6_completeness,FALSE)</f>
        <v>#DIV/0!</v>
      </c>
      <c r="E565" s="55" t="e">
        <f>VLOOKUP(Exam_08,AverageScores,b6_completeness,FALSE)</f>
        <v>#DIV/0!</v>
      </c>
      <c r="F565" s="55" t="e">
        <f>VLOOKUP(Exam_08,AverageScores,b6_completeness,FALSE)</f>
        <v>#DIV/0!</v>
      </c>
      <c r="G565" s="55" t="e">
        <f>VLOOKUP(Exam_08,AverageScores,b6_completeness,FALSE)</f>
        <v>#DIV/0!</v>
      </c>
    </row>
    <row r="566" spans="2:7" ht="13.5" customHeight="1">
      <c r="B566" s="51" t="s">
        <v>66</v>
      </c>
      <c r="C566" s="55">
        <f>VLOOKUP(Exam_08,ScoringAccuracyTable,b6_accuracy,FALSE)</f>
      </c>
      <c r="D566" s="55">
        <f>VLOOKUP(Exam_08,ScoringAccuracyTable,b6_accuracy,FALSE)</f>
      </c>
      <c r="E566" s="55">
        <f>VLOOKUP(Exam_08,ScoringAccuracyTable,b6_accuracy,FALSE)</f>
      </c>
      <c r="F566" s="55">
        <f>VLOOKUP(Exam_08,ScoringAccuracyTable,b6_accuracy,FALSE)</f>
      </c>
      <c r="G566" s="55">
        <f>VLOOKUP(Exam_08,ScoringAccuracyTable,b6_accuracy,FALSE)</f>
      </c>
    </row>
    <row r="569" spans="1:7" ht="13.5" customHeight="1">
      <c r="A569" s="131" t="s">
        <v>18</v>
      </c>
      <c r="B569" s="243" t="s">
        <v>70</v>
      </c>
      <c r="C569" s="243"/>
      <c r="D569" s="243"/>
      <c r="E569" s="243"/>
      <c r="F569" s="243"/>
      <c r="G569" s="243"/>
    </row>
    <row r="570" spans="1:7" ht="13.5" customHeight="1">
      <c r="A570" s="132">
        <f>Exam_09</f>
        <v>9</v>
      </c>
      <c r="B570" s="244"/>
      <c r="C570" s="244"/>
      <c r="D570" s="244"/>
      <c r="E570" s="244"/>
      <c r="F570" s="244"/>
      <c r="G570" s="244"/>
    </row>
    <row r="571" spans="2:7" ht="13.5" customHeight="1">
      <c r="B571" s="50" t="s">
        <v>68</v>
      </c>
      <c r="C571" s="54" t="s">
        <v>58</v>
      </c>
      <c r="D571" s="54" t="s">
        <v>59</v>
      </c>
      <c r="E571" s="54" t="s">
        <v>60</v>
      </c>
      <c r="F571" s="54" t="s">
        <v>61</v>
      </c>
      <c r="G571" s="54" t="s">
        <v>62</v>
      </c>
    </row>
    <row r="572" spans="2:7" ht="13.5" customHeight="1">
      <c r="B572" s="51" t="s">
        <v>63</v>
      </c>
      <c r="C572" s="55" t="e">
        <f>0.2*AVERAGE(VLOOKUP(Exam_09,Sum_Accuracy,9,FALSE),VLOOKUP(Exam_09,Sum_Accuracy,10,FALSE))</f>
        <v>#VALUE!</v>
      </c>
      <c r="D572" s="55" t="e">
        <f>0.2*AVERAGE(VLOOKUP(Exam_09,Sum_Accuracy,9,FALSE),VLOOKUP(Exam_09,Sum_Accuracy,10,FALSE))</f>
        <v>#VALUE!</v>
      </c>
      <c r="E572" s="55" t="e">
        <f>0.2*AVERAGE(VLOOKUP(Exam_09,Sum_Accuracy,9,FALSE),VLOOKUP(Exam_09,Sum_Accuracy,10,FALSE))</f>
        <v>#VALUE!</v>
      </c>
      <c r="F572" s="55" t="e">
        <f>0.2*AVERAGE(VLOOKUP(Exam_09,Sum_Accuracy,9,FALSE),VLOOKUP(Exam_09,Sum_Accuracy,10,FALSE))</f>
        <v>#VALUE!</v>
      </c>
      <c r="G572" s="55" t="e">
        <f>0.2*AVERAGE(VLOOKUP(Exam_09,Sum_Accuracy,9,FALSE),VLOOKUP(Exam_09,Sum_Accuracy,10,FALSE))</f>
        <v>#VALUE!</v>
      </c>
    </row>
    <row r="573" spans="2:7" ht="13.5" customHeight="1">
      <c r="B573" s="51" t="s">
        <v>69</v>
      </c>
      <c r="C573" s="55" t="e">
        <f>0.2*AVERAGE(VLOOKUP(Exam_09,Sum_Accuracy,11,FALSE),VLOOKUP(Exam_09,Sum_Accuracy,12,FALSE))</f>
        <v>#VALUE!</v>
      </c>
      <c r="D573" s="55" t="e">
        <f>0.2*AVERAGE(VLOOKUP(Exam_09,Sum_Accuracy,11,FALSE),VLOOKUP(Exam_09,Sum_Accuracy,12,FALSE))</f>
        <v>#VALUE!</v>
      </c>
      <c r="E573" s="55" t="e">
        <f>0.2*AVERAGE(VLOOKUP(Exam_09,Sum_Accuracy,11,FALSE),VLOOKUP(Exam_09,Sum_Accuracy,12,FALSE))</f>
        <v>#VALUE!</v>
      </c>
      <c r="F573" s="55" t="e">
        <f>0.2*AVERAGE(VLOOKUP(Exam_09,Sum_Accuracy,11,FALSE),VLOOKUP(Exam_09,Sum_Accuracy,12,FALSE))</f>
        <v>#VALUE!</v>
      </c>
      <c r="G573" s="55" t="e">
        <f>0.2*AVERAGE(VLOOKUP(Exam_09,Sum_Accuracy,11,FALSE),VLOOKUP(Exam_09,Sum_Accuracy,12,FALSE))</f>
        <v>#VALUE!</v>
      </c>
    </row>
    <row r="574" spans="2:7" ht="13.5" customHeight="1">
      <c r="B574" s="51" t="s">
        <v>64</v>
      </c>
      <c r="C574" s="55" t="e">
        <f>0.2*AVERAGE(VLOOKUP(Exam_09,Sum_Accuracy,13,FALSE),VLOOKUP(Exam_09,Sum_Accuracy,14,FALSE))</f>
        <v>#VALUE!</v>
      </c>
      <c r="D574" s="55" t="e">
        <f>0.2*AVERAGE(VLOOKUP(Exam_09,Sum_Accuracy,13,FALSE),VLOOKUP(Exam_09,Sum_Accuracy,14,FALSE))</f>
        <v>#VALUE!</v>
      </c>
      <c r="E574" s="55" t="e">
        <f>0.2*AVERAGE(VLOOKUP(Exam_09,Sum_Accuracy,13,FALSE),VLOOKUP(Exam_09,Sum_Accuracy,14,FALSE))</f>
        <v>#VALUE!</v>
      </c>
      <c r="F574" s="55" t="e">
        <f>0.2*AVERAGE(VLOOKUP(Exam_09,Sum_Accuracy,13,FALSE),VLOOKUP(Exam_09,Sum_Accuracy,14,FALSE))</f>
        <v>#VALUE!</v>
      </c>
      <c r="G574" s="55" t="e">
        <f>0.2*AVERAGE(VLOOKUP(Exam_09,Sum_Accuracy,13,FALSE),VLOOKUP(Exam_09,Sum_Accuracy,14,FALSE))</f>
        <v>#VALUE!</v>
      </c>
    </row>
    <row r="575" spans="2:7" ht="13.5" customHeight="1">
      <c r="B575" s="51" t="s">
        <v>65</v>
      </c>
      <c r="C575" s="55" t="e">
        <f>0.2*AVERAGE(VLOOKUP(Exam_09,Sum_Accuracy,15,FALSE),VLOOKUP(Exam_09,Sum_Accuracy,16,FALSE))</f>
        <v>#VALUE!</v>
      </c>
      <c r="D575" s="55" t="e">
        <f>0.2*AVERAGE(VLOOKUP(Exam_09,Sum_Accuracy,15,FALSE),VLOOKUP(Exam_09,Sum_Accuracy,16,FALSE))</f>
        <v>#VALUE!</v>
      </c>
      <c r="E575" s="55" t="e">
        <f>0.2*AVERAGE(VLOOKUP(Exam_09,Sum_Accuracy,15,FALSE),VLOOKUP(Exam_09,Sum_Accuracy,16,FALSE))</f>
        <v>#VALUE!</v>
      </c>
      <c r="F575" s="55" t="e">
        <f>0.2*AVERAGE(VLOOKUP(Exam_09,Sum_Accuracy,15,FALSE),VLOOKUP(Exam_09,Sum_Accuracy,16,FALSE))</f>
        <v>#VALUE!</v>
      </c>
      <c r="G575" s="55" t="e">
        <f>0.2*AVERAGE(VLOOKUP(Exam_09,Sum_Accuracy,15,FALSE),VLOOKUP(Exam_09,Sum_Accuracy,16,FALSE))</f>
        <v>#VALUE!</v>
      </c>
    </row>
    <row r="576" spans="2:7" ht="13.5" customHeight="1">
      <c r="B576" s="51" t="s">
        <v>66</v>
      </c>
      <c r="C576" s="55" t="e">
        <f>VLOOKUP(Exam_09,Sum_Accuracy,8,FALSE)/5</f>
        <v>#VALUE!</v>
      </c>
      <c r="D576" s="55" t="e">
        <f>VLOOKUP(Exam_09,Sum_Accuracy,8,FALSE)/5</f>
        <v>#VALUE!</v>
      </c>
      <c r="E576" s="55" t="e">
        <f>VLOOKUP(Exam_09,Sum_Accuracy,8,FALSE)/5</f>
        <v>#VALUE!</v>
      </c>
      <c r="F576" s="55" t="e">
        <f>VLOOKUP(Exam_09,Sum_Accuracy,8,FALSE)/5</f>
        <v>#VALUE!</v>
      </c>
      <c r="G576" s="55" t="e">
        <f>VLOOKUP(Exam_09,Sum_Accuracy,8,FALSE)/5</f>
        <v>#VALUE!</v>
      </c>
    </row>
    <row r="577" spans="2:7" ht="13.5" customHeight="1">
      <c r="B577" s="241"/>
      <c r="C577" s="241"/>
      <c r="D577" s="241"/>
      <c r="E577" s="241"/>
      <c r="F577" s="241"/>
      <c r="G577" s="241"/>
    </row>
    <row r="579" spans="2:7" ht="13.5" customHeight="1">
      <c r="B579" s="245" t="s">
        <v>67</v>
      </c>
      <c r="C579" s="245"/>
      <c r="D579" s="245"/>
      <c r="E579" s="245"/>
      <c r="F579" s="245"/>
      <c r="G579" s="245"/>
    </row>
    <row r="580" spans="2:7" ht="13.5" customHeight="1">
      <c r="B580" s="246"/>
      <c r="C580" s="246"/>
      <c r="D580" s="246"/>
      <c r="E580" s="246"/>
      <c r="F580" s="246"/>
      <c r="G580" s="246"/>
    </row>
    <row r="581" spans="2:7" ht="13.5" customHeight="1">
      <c r="B581" s="52" t="s">
        <v>71</v>
      </c>
      <c r="C581" s="242" t="str">
        <f>BeerName1</f>
        <v>Style1</v>
      </c>
      <c r="D581" s="242"/>
      <c r="E581" s="242"/>
      <c r="F581" s="242"/>
      <c r="G581" s="242"/>
    </row>
    <row r="582" spans="2:7" ht="13.5" customHeight="1">
      <c r="B582" s="241"/>
      <c r="C582" s="241"/>
      <c r="D582" s="241"/>
      <c r="E582" s="241"/>
      <c r="F582" s="241"/>
      <c r="G582" s="241"/>
    </row>
    <row r="583" spans="2:7" ht="13.5" customHeight="1">
      <c r="B583" s="50" t="s">
        <v>68</v>
      </c>
      <c r="C583" s="54" t="s">
        <v>58</v>
      </c>
      <c r="D583" s="54" t="s">
        <v>59</v>
      </c>
      <c r="E583" s="54" t="s">
        <v>60</v>
      </c>
      <c r="F583" s="54" t="s">
        <v>61</v>
      </c>
      <c r="G583" s="54" t="s">
        <v>62</v>
      </c>
    </row>
    <row r="584" spans="2:7" ht="13.5" customHeight="1">
      <c r="B584" s="51" t="s">
        <v>63</v>
      </c>
      <c r="C584" s="55" t="e">
        <f>VLOOKUP(Exam_09,AverageScores,b1_perception,FALSE)</f>
        <v>#DIV/0!</v>
      </c>
      <c r="D584" s="55" t="e">
        <f>VLOOKUP(Exam_09,AverageScores,b1_perception,FALSE)</f>
        <v>#DIV/0!</v>
      </c>
      <c r="E584" s="55" t="e">
        <f>VLOOKUP(Exam_09,AverageScores,b1_perception,FALSE)</f>
        <v>#DIV/0!</v>
      </c>
      <c r="F584" s="55" t="e">
        <f>VLOOKUP(Exam_09,AverageScores,b1_perception,FALSE)</f>
        <v>#DIV/0!</v>
      </c>
      <c r="G584" s="55" t="e">
        <f>VLOOKUP(Exam_09,AverageScores,b1_perception,FALSE)</f>
        <v>#DIV/0!</v>
      </c>
    </row>
    <row r="585" spans="2:7" ht="13.5" customHeight="1">
      <c r="B585" s="51" t="s">
        <v>69</v>
      </c>
      <c r="C585" s="55" t="e">
        <f>VLOOKUP(Exam_09,AverageScores,b1_descriptive,FALSE)</f>
        <v>#DIV/0!</v>
      </c>
      <c r="D585" s="55" t="e">
        <f>VLOOKUP(Exam_09,AverageScores,b1_descriptive,FALSE)</f>
        <v>#DIV/0!</v>
      </c>
      <c r="E585" s="55" t="e">
        <f>VLOOKUP(Exam_09,AverageScores,b1_descriptive,FALSE)</f>
        <v>#DIV/0!</v>
      </c>
      <c r="F585" s="55" t="e">
        <f>VLOOKUP(Exam_09,AverageScores,b1_descriptive,FALSE)</f>
        <v>#DIV/0!</v>
      </c>
      <c r="G585" s="55" t="e">
        <f>VLOOKUP(Exam_09,AverageScores,b1_descriptive,FALSE)</f>
        <v>#DIV/0!</v>
      </c>
    </row>
    <row r="586" spans="2:7" ht="13.5" customHeight="1">
      <c r="B586" s="51" t="s">
        <v>64</v>
      </c>
      <c r="C586" s="55" t="e">
        <f>VLOOKUP(Exam_09,AverageScores,b1_feedback,FALSE)</f>
        <v>#DIV/0!</v>
      </c>
      <c r="D586" s="55" t="e">
        <f>VLOOKUP(Exam_09,AverageScores,b1_feedback,FALSE)</f>
        <v>#DIV/0!</v>
      </c>
      <c r="E586" s="55" t="e">
        <f>VLOOKUP(Exam_09,AverageScores,b1_feedback,FALSE)</f>
        <v>#DIV/0!</v>
      </c>
      <c r="F586" s="55" t="e">
        <f>VLOOKUP(Exam_09,AverageScores,b1_feedback,FALSE)</f>
        <v>#DIV/0!</v>
      </c>
      <c r="G586" s="55" t="e">
        <f>VLOOKUP(Exam_09,AverageScores,b1_feedback,FALSE)</f>
        <v>#DIV/0!</v>
      </c>
    </row>
    <row r="587" spans="2:7" ht="13.5" customHeight="1">
      <c r="B587" s="51" t="s">
        <v>65</v>
      </c>
      <c r="C587" s="55" t="e">
        <f>VLOOKUP(Exam_09,AverageScores,b1_completeness,FALSE)</f>
        <v>#DIV/0!</v>
      </c>
      <c r="D587" s="55" t="e">
        <f>VLOOKUP(Exam_09,AverageScores,b1_completeness,FALSE)</f>
        <v>#DIV/0!</v>
      </c>
      <c r="E587" s="55" t="e">
        <f>VLOOKUP(Exam_09,AverageScores,b1_completeness,FALSE)</f>
        <v>#DIV/0!</v>
      </c>
      <c r="F587" s="55" t="e">
        <f>VLOOKUP(Exam_09,AverageScores,b1_completeness,FALSE)</f>
        <v>#DIV/0!</v>
      </c>
      <c r="G587" s="55" t="e">
        <f>VLOOKUP(Exam_09,AverageScores,b1_completeness,FALSE)</f>
        <v>#DIV/0!</v>
      </c>
    </row>
    <row r="588" spans="2:7" ht="13.5" customHeight="1">
      <c r="B588" s="51" t="s">
        <v>66</v>
      </c>
      <c r="C588" s="55">
        <f>VLOOKUP(Exam_09,ScoringAccuracyTable,b1_accuracy,FALSE)</f>
      </c>
      <c r="D588" s="55">
        <f>VLOOKUP(Exam_09,ScoringAccuracyTable,b1_accuracy,FALSE)</f>
      </c>
      <c r="E588" s="55">
        <f>VLOOKUP(Exam_09,ScoringAccuracyTable,b1_accuracy,FALSE)</f>
      </c>
      <c r="F588" s="55">
        <f>VLOOKUP(Exam_09,ScoringAccuracyTable,b1_accuracy,FALSE)</f>
      </c>
      <c r="G588" s="55">
        <f>VLOOKUP(Exam_09,ScoringAccuracyTable,b1_accuracy,FALSE)</f>
      </c>
    </row>
    <row r="589" spans="2:7" ht="13.5" customHeight="1">
      <c r="B589" s="241"/>
      <c r="C589" s="241"/>
      <c r="D589" s="241"/>
      <c r="E589" s="241"/>
      <c r="F589" s="241"/>
      <c r="G589" s="241"/>
    </row>
    <row r="590" spans="2:7" ht="13.5" customHeight="1">
      <c r="B590" s="52" t="s">
        <v>72</v>
      </c>
      <c r="C590" s="242" t="str">
        <f>BeerName2</f>
        <v>Style2</v>
      </c>
      <c r="D590" s="242"/>
      <c r="E590" s="242"/>
      <c r="F590" s="242"/>
      <c r="G590" s="242"/>
    </row>
    <row r="591" spans="2:7" ht="13.5" customHeight="1">
      <c r="B591" s="247"/>
      <c r="C591" s="247"/>
      <c r="D591" s="247"/>
      <c r="E591" s="247"/>
      <c r="F591" s="247"/>
      <c r="G591" s="247"/>
    </row>
    <row r="592" spans="2:7" ht="13.5" customHeight="1">
      <c r="B592" s="50" t="s">
        <v>68</v>
      </c>
      <c r="C592" s="56" t="s">
        <v>58</v>
      </c>
      <c r="D592" s="56" t="s">
        <v>59</v>
      </c>
      <c r="E592" s="56" t="s">
        <v>60</v>
      </c>
      <c r="F592" s="56" t="s">
        <v>61</v>
      </c>
      <c r="G592" s="56" t="s">
        <v>62</v>
      </c>
    </row>
    <row r="593" spans="2:7" ht="13.5" customHeight="1">
      <c r="B593" s="51" t="s">
        <v>63</v>
      </c>
      <c r="C593" s="55" t="e">
        <f>VLOOKUP(Exam_09,AverageScores,b2_perceptive,FALSE)</f>
        <v>#DIV/0!</v>
      </c>
      <c r="D593" s="55" t="e">
        <f>VLOOKUP(Exam_09,AverageScores,b2_perceptive,FALSE)</f>
        <v>#DIV/0!</v>
      </c>
      <c r="E593" s="55" t="e">
        <f>VLOOKUP(Exam_09,AverageScores,b2_perceptive,FALSE)</f>
        <v>#DIV/0!</v>
      </c>
      <c r="F593" s="55" t="e">
        <f>VLOOKUP(Exam_09,AverageScores,b2_perceptive,FALSE)</f>
        <v>#DIV/0!</v>
      </c>
      <c r="G593" s="55" t="e">
        <f>VLOOKUP(Exam_09,AverageScores,b2_perceptive,FALSE)</f>
        <v>#DIV/0!</v>
      </c>
    </row>
    <row r="594" spans="2:7" ht="13.5" customHeight="1">
      <c r="B594" s="51" t="s">
        <v>69</v>
      </c>
      <c r="C594" s="55" t="e">
        <f>VLOOKUP(Exam_09,AverageScores,b2_descriptive,FALSE)</f>
        <v>#DIV/0!</v>
      </c>
      <c r="D594" s="55" t="e">
        <f>VLOOKUP(Exam_09,AverageScores,b2_descriptive,FALSE)</f>
        <v>#DIV/0!</v>
      </c>
      <c r="E594" s="55" t="e">
        <f>VLOOKUP(Exam_09,AverageScores,b2_descriptive,FALSE)</f>
        <v>#DIV/0!</v>
      </c>
      <c r="F594" s="55" t="e">
        <f>VLOOKUP(Exam_09,AverageScores,b2_descriptive,FALSE)</f>
        <v>#DIV/0!</v>
      </c>
      <c r="G594" s="55" t="e">
        <f>VLOOKUP(Exam_09,AverageScores,b2_descriptive,FALSE)</f>
        <v>#DIV/0!</v>
      </c>
    </row>
    <row r="595" spans="2:7" ht="13.5" customHeight="1">
      <c r="B595" s="51" t="s">
        <v>64</v>
      </c>
      <c r="C595" s="55" t="e">
        <f>VLOOKUP(Exam_09,AverageScores,b2_feedback,FALSE)</f>
        <v>#DIV/0!</v>
      </c>
      <c r="D595" s="55" t="e">
        <f>VLOOKUP(Exam_09,AverageScores,b2_feedback,FALSE)</f>
        <v>#DIV/0!</v>
      </c>
      <c r="E595" s="55" t="e">
        <f>VLOOKUP(Exam_09,AverageScores,b2_feedback,FALSE)</f>
        <v>#DIV/0!</v>
      </c>
      <c r="F595" s="55" t="e">
        <f>VLOOKUP(Exam_09,AverageScores,b2_feedback,FALSE)</f>
        <v>#DIV/0!</v>
      </c>
      <c r="G595" s="55" t="e">
        <f>VLOOKUP(Exam_09,AverageScores,b2_feedback,FALSE)</f>
        <v>#DIV/0!</v>
      </c>
    </row>
    <row r="596" spans="2:7" ht="13.5" customHeight="1">
      <c r="B596" s="51" t="s">
        <v>65</v>
      </c>
      <c r="C596" s="55" t="e">
        <f>VLOOKUP(Exam_09,AverageScores,b2_completeness,FALSE)</f>
        <v>#DIV/0!</v>
      </c>
      <c r="D596" s="55" t="e">
        <f>VLOOKUP(Exam_09,AverageScores,b2_completeness,FALSE)</f>
        <v>#DIV/0!</v>
      </c>
      <c r="E596" s="55" t="e">
        <f>VLOOKUP(Exam_09,AverageScores,b2_completeness,FALSE)</f>
        <v>#DIV/0!</v>
      </c>
      <c r="F596" s="55" t="e">
        <f>VLOOKUP(Exam_09,AverageScores,b2_completeness,FALSE)</f>
        <v>#DIV/0!</v>
      </c>
      <c r="G596" s="55" t="e">
        <f>VLOOKUP(Exam_09,AverageScores,b2_completeness,FALSE)</f>
        <v>#DIV/0!</v>
      </c>
    </row>
    <row r="597" spans="2:7" ht="13.5" customHeight="1">
      <c r="B597" s="51" t="s">
        <v>66</v>
      </c>
      <c r="C597" s="55">
        <f>VLOOKUP(Exam_09,ScoringAccuracyTable,b2_accuracy,FALSE)</f>
      </c>
      <c r="D597" s="55">
        <f>VLOOKUP(Exam_09,ScoringAccuracyTable,b2_accuracy,FALSE)</f>
      </c>
      <c r="E597" s="55">
        <f>VLOOKUP(Exam_09,ScoringAccuracyTable,b2_accuracy,FALSE)</f>
      </c>
      <c r="F597" s="55">
        <f>VLOOKUP(Exam_09,ScoringAccuracyTable,b2_accuracy,FALSE)</f>
      </c>
      <c r="G597" s="55">
        <f>VLOOKUP(Exam_09,ScoringAccuracyTable,b2_accuracy,FALSE)</f>
      </c>
    </row>
    <row r="598" spans="2:7" ht="13.5" customHeight="1">
      <c r="B598" s="241"/>
      <c r="C598" s="241"/>
      <c r="D598" s="241"/>
      <c r="E598" s="241"/>
      <c r="F598" s="241"/>
      <c r="G598" s="241"/>
    </row>
    <row r="599" spans="2:7" ht="13.5" customHeight="1">
      <c r="B599" s="52" t="s">
        <v>76</v>
      </c>
      <c r="C599" s="242" t="str">
        <f>BeerName3</f>
        <v>Style3</v>
      </c>
      <c r="D599" s="242"/>
      <c r="E599" s="242"/>
      <c r="F599" s="242"/>
      <c r="G599" s="242"/>
    </row>
    <row r="600" spans="2:7" ht="13.5" customHeight="1">
      <c r="B600" s="247"/>
      <c r="C600" s="247"/>
      <c r="D600" s="247"/>
      <c r="E600" s="247"/>
      <c r="F600" s="247"/>
      <c r="G600" s="247"/>
    </row>
    <row r="601" spans="2:7" ht="13.5" customHeight="1">
      <c r="B601" s="50" t="s">
        <v>68</v>
      </c>
      <c r="C601" s="54" t="s">
        <v>58</v>
      </c>
      <c r="D601" s="54" t="s">
        <v>59</v>
      </c>
      <c r="E601" s="54" t="s">
        <v>60</v>
      </c>
      <c r="F601" s="54" t="s">
        <v>61</v>
      </c>
      <c r="G601" s="54" t="s">
        <v>62</v>
      </c>
    </row>
    <row r="602" spans="2:7" ht="13.5" customHeight="1">
      <c r="B602" s="51" t="s">
        <v>63</v>
      </c>
      <c r="C602" s="55" t="e">
        <f>VLOOKUP(Exam_09,AverageScores,b3_perception,FALSE)</f>
        <v>#DIV/0!</v>
      </c>
      <c r="D602" s="55" t="e">
        <f>VLOOKUP(Exam_09,AverageScores,b3_perception,FALSE)</f>
        <v>#DIV/0!</v>
      </c>
      <c r="E602" s="55" t="e">
        <f>VLOOKUP(Exam_09,AverageScores,b3_perception,FALSE)</f>
        <v>#DIV/0!</v>
      </c>
      <c r="F602" s="55" t="e">
        <f>VLOOKUP(Exam_09,AverageScores,b3_perception,FALSE)</f>
        <v>#DIV/0!</v>
      </c>
      <c r="G602" s="55" t="e">
        <f>VLOOKUP(Exam_09,AverageScores,b3_perception,FALSE)</f>
        <v>#DIV/0!</v>
      </c>
    </row>
    <row r="603" spans="2:7" ht="13.5" customHeight="1">
      <c r="B603" s="51" t="s">
        <v>69</v>
      </c>
      <c r="C603" s="55" t="e">
        <f>VLOOKUP(Exam_09,AverageScores,b3_descriptive,FALSE)</f>
        <v>#DIV/0!</v>
      </c>
      <c r="D603" s="55" t="e">
        <f>VLOOKUP(Exam_09,AverageScores,b3_descriptive,FALSE)</f>
        <v>#DIV/0!</v>
      </c>
      <c r="E603" s="55" t="e">
        <f>VLOOKUP(Exam_09,AverageScores,b3_descriptive,FALSE)</f>
        <v>#DIV/0!</v>
      </c>
      <c r="F603" s="55" t="e">
        <f>VLOOKUP(Exam_09,AverageScores,b3_descriptive,FALSE)</f>
        <v>#DIV/0!</v>
      </c>
      <c r="G603" s="55" t="e">
        <f>VLOOKUP(Exam_09,AverageScores,b3_descriptive,FALSE)</f>
        <v>#DIV/0!</v>
      </c>
    </row>
    <row r="604" spans="2:7" ht="13.5" customHeight="1">
      <c r="B604" s="51" t="s">
        <v>64</v>
      </c>
      <c r="C604" s="55" t="e">
        <f>VLOOKUP(Exam_09,AverageScores,b3_feedback,FALSE)</f>
        <v>#DIV/0!</v>
      </c>
      <c r="D604" s="55" t="e">
        <f>VLOOKUP(Exam_09,AverageScores,b3_feedback,FALSE)</f>
        <v>#DIV/0!</v>
      </c>
      <c r="E604" s="55" t="e">
        <f>VLOOKUP(Exam_09,AverageScores,b3_feedback,FALSE)</f>
        <v>#DIV/0!</v>
      </c>
      <c r="F604" s="55" t="e">
        <f>VLOOKUP(Exam_09,AverageScores,b3_feedback,FALSE)</f>
        <v>#DIV/0!</v>
      </c>
      <c r="G604" s="55" t="e">
        <f>VLOOKUP(Exam_09,AverageScores,b3_feedback,FALSE)</f>
        <v>#DIV/0!</v>
      </c>
    </row>
    <row r="605" spans="2:7" ht="13.5" customHeight="1">
      <c r="B605" s="51" t="s">
        <v>65</v>
      </c>
      <c r="C605" s="55" t="e">
        <f>VLOOKUP(Exam_09,AverageScores,b3_completeness,FALSE)</f>
        <v>#DIV/0!</v>
      </c>
      <c r="D605" s="55" t="e">
        <f>VLOOKUP(Exam_09,AverageScores,b3_completeness,FALSE)</f>
        <v>#DIV/0!</v>
      </c>
      <c r="E605" s="55" t="e">
        <f>VLOOKUP(Exam_09,AverageScores,b3_completeness,FALSE)</f>
        <v>#DIV/0!</v>
      </c>
      <c r="F605" s="55" t="e">
        <f>VLOOKUP(Exam_09,AverageScores,b3_completeness,FALSE)</f>
        <v>#DIV/0!</v>
      </c>
      <c r="G605" s="55" t="e">
        <f>VLOOKUP(Exam_09,AverageScores,b3_completeness,FALSE)</f>
        <v>#DIV/0!</v>
      </c>
    </row>
    <row r="606" spans="2:7" ht="13.5" customHeight="1">
      <c r="B606" s="51" t="s">
        <v>66</v>
      </c>
      <c r="C606" s="55">
        <f>VLOOKUP(Exam_09,ScoringAccuracyTable,b3_accuracy,FALSE)</f>
      </c>
      <c r="D606" s="55">
        <f>VLOOKUP(Exam_09,ScoringAccuracyTable,b3_accuracy,FALSE)</f>
      </c>
      <c r="E606" s="55">
        <f>VLOOKUP(Exam_09,ScoringAccuracyTable,b3_accuracy,FALSE)</f>
      </c>
      <c r="F606" s="55">
        <f>VLOOKUP(Exam_09,ScoringAccuracyTable,b3_accuracy,FALSE)</f>
      </c>
      <c r="G606" s="55">
        <f>VLOOKUP(Exam_09,ScoringAccuracyTable,b3_accuracy,FALSE)</f>
      </c>
    </row>
    <row r="607" spans="2:7" ht="13.5" customHeight="1">
      <c r="B607" s="241"/>
      <c r="C607" s="241"/>
      <c r="D607" s="241"/>
      <c r="E607" s="241"/>
      <c r="F607" s="241"/>
      <c r="G607" s="241"/>
    </row>
    <row r="608" spans="2:7" ht="13.5" customHeight="1">
      <c r="B608" s="52" t="s">
        <v>75</v>
      </c>
      <c r="C608" s="242" t="str">
        <f>BeerName4</f>
        <v>Style4</v>
      </c>
      <c r="D608" s="242"/>
      <c r="E608" s="242"/>
      <c r="F608" s="242"/>
      <c r="G608" s="242"/>
    </row>
    <row r="609" spans="2:7" ht="13.5" customHeight="1">
      <c r="B609" s="241"/>
      <c r="C609" s="241"/>
      <c r="D609" s="241"/>
      <c r="E609" s="241"/>
      <c r="F609" s="241"/>
      <c r="G609" s="241"/>
    </row>
    <row r="610" spans="2:7" ht="13.5" customHeight="1">
      <c r="B610" s="50" t="s">
        <v>68</v>
      </c>
      <c r="C610" s="54" t="s">
        <v>58</v>
      </c>
      <c r="D610" s="54" t="s">
        <v>59</v>
      </c>
      <c r="E610" s="54" t="s">
        <v>60</v>
      </c>
      <c r="F610" s="54" t="s">
        <v>61</v>
      </c>
      <c r="G610" s="54" t="s">
        <v>62</v>
      </c>
    </row>
    <row r="611" spans="2:7" ht="13.5" customHeight="1">
      <c r="B611" s="51" t="s">
        <v>63</v>
      </c>
      <c r="C611" s="55" t="e">
        <f>VLOOKUP(Exam_09,AverageScores,b4_perception,FALSE)</f>
        <v>#DIV/0!</v>
      </c>
      <c r="D611" s="55" t="e">
        <f>VLOOKUP(Exam_09,AverageScores,b4_perception,FALSE)</f>
        <v>#DIV/0!</v>
      </c>
      <c r="E611" s="55" t="e">
        <f>VLOOKUP(Exam_09,AverageScores,b4_perception,FALSE)</f>
        <v>#DIV/0!</v>
      </c>
      <c r="F611" s="55" t="e">
        <f>VLOOKUP(Exam_09,AverageScores,b4_perception,FALSE)</f>
        <v>#DIV/0!</v>
      </c>
      <c r="G611" s="55" t="e">
        <f>VLOOKUP(Exam_09,AverageScores,b4_perception,FALSE)</f>
        <v>#DIV/0!</v>
      </c>
    </row>
    <row r="612" spans="2:7" ht="13.5" customHeight="1">
      <c r="B612" s="51" t="s">
        <v>69</v>
      </c>
      <c r="C612" s="55" t="e">
        <f>VLOOKUP(Exam_09,AverageScores,b4_descriptive,FALSE)</f>
        <v>#DIV/0!</v>
      </c>
      <c r="D612" s="55" t="e">
        <f>VLOOKUP(Exam_09,AverageScores,b4_descriptive,FALSE)</f>
        <v>#DIV/0!</v>
      </c>
      <c r="E612" s="55" t="e">
        <f>VLOOKUP(Exam_09,AverageScores,b4_descriptive,FALSE)</f>
        <v>#DIV/0!</v>
      </c>
      <c r="F612" s="55" t="e">
        <f>VLOOKUP(Exam_09,AverageScores,b4_descriptive,FALSE)</f>
        <v>#DIV/0!</v>
      </c>
      <c r="G612" s="55" t="e">
        <f>VLOOKUP(Exam_09,AverageScores,b4_descriptive,FALSE)</f>
        <v>#DIV/0!</v>
      </c>
    </row>
    <row r="613" spans="2:7" ht="13.5" customHeight="1">
      <c r="B613" s="51" t="s">
        <v>64</v>
      </c>
      <c r="C613" s="55" t="e">
        <f>VLOOKUP(Exam_09,AverageScores,b4_feedback,FALSE)</f>
        <v>#DIV/0!</v>
      </c>
      <c r="D613" s="55" t="e">
        <f>VLOOKUP(Exam_09,AverageScores,b4_feedback,FALSE)</f>
        <v>#DIV/0!</v>
      </c>
      <c r="E613" s="55" t="e">
        <f>VLOOKUP(Exam_09,AverageScores,b4_feedback,FALSE)</f>
        <v>#DIV/0!</v>
      </c>
      <c r="F613" s="55" t="e">
        <f>VLOOKUP(Exam_09,AverageScores,b4_feedback,FALSE)</f>
        <v>#DIV/0!</v>
      </c>
      <c r="G613" s="55" t="e">
        <f>VLOOKUP(Exam_09,AverageScores,b4_feedback,FALSE)</f>
        <v>#DIV/0!</v>
      </c>
    </row>
    <row r="614" spans="2:7" ht="13.5" customHeight="1">
      <c r="B614" s="51" t="s">
        <v>65</v>
      </c>
      <c r="C614" s="55" t="e">
        <f>VLOOKUP(Exam_09,AverageScores,b4_completeness,FALSE)</f>
        <v>#DIV/0!</v>
      </c>
      <c r="D614" s="55" t="e">
        <f>VLOOKUP(Exam_09,AverageScores,b4_completeness,FALSE)</f>
        <v>#DIV/0!</v>
      </c>
      <c r="E614" s="55" t="e">
        <f>VLOOKUP(Exam_09,AverageScores,b4_completeness,FALSE)</f>
        <v>#DIV/0!</v>
      </c>
      <c r="F614" s="55" t="e">
        <f>VLOOKUP(Exam_09,AverageScores,b4_completeness,FALSE)</f>
        <v>#DIV/0!</v>
      </c>
      <c r="G614" s="55" t="e">
        <f>VLOOKUP(Exam_09,AverageScores,b4_completeness,FALSE)</f>
        <v>#DIV/0!</v>
      </c>
    </row>
    <row r="615" spans="2:7" ht="13.5" customHeight="1">
      <c r="B615" s="51" t="s">
        <v>66</v>
      </c>
      <c r="C615" s="55">
        <f>VLOOKUP(Exam_09,ScoringAccuracyTable,b4_accuracy,FALSE)</f>
      </c>
      <c r="D615" s="55">
        <f>VLOOKUP(Exam_09,ScoringAccuracyTable,b4_accuracy,FALSE)</f>
      </c>
      <c r="E615" s="55">
        <f>VLOOKUP(Exam_09,ScoringAccuracyTable,b4_accuracy,FALSE)</f>
      </c>
      <c r="F615" s="55">
        <f>VLOOKUP(Exam_09,ScoringAccuracyTable,b4_accuracy,FALSE)</f>
      </c>
      <c r="G615" s="55">
        <f>VLOOKUP(Exam_09,ScoringAccuracyTable,b4_accuracy,FALSE)</f>
      </c>
    </row>
    <row r="616" spans="2:7" ht="13.5" customHeight="1">
      <c r="B616" s="241"/>
      <c r="C616" s="241"/>
      <c r="D616" s="241"/>
      <c r="E616" s="241"/>
      <c r="F616" s="241"/>
      <c r="G616" s="241"/>
    </row>
    <row r="621" spans="2:7" ht="13.5" customHeight="1">
      <c r="B621" s="52" t="s">
        <v>74</v>
      </c>
      <c r="C621" s="242" t="str">
        <f>BeerName5</f>
        <v>Style5</v>
      </c>
      <c r="D621" s="242"/>
      <c r="E621" s="242"/>
      <c r="F621" s="242"/>
      <c r="G621" s="242"/>
    </row>
    <row r="622" spans="2:7" ht="13.5" customHeight="1">
      <c r="B622" s="241"/>
      <c r="C622" s="241"/>
      <c r="D622" s="241"/>
      <c r="E622" s="241"/>
      <c r="F622" s="241"/>
      <c r="G622" s="241"/>
    </row>
    <row r="623" spans="2:7" ht="13.5" customHeight="1">
      <c r="B623" s="50" t="s">
        <v>68</v>
      </c>
      <c r="C623" s="54" t="s">
        <v>58</v>
      </c>
      <c r="D623" s="54" t="s">
        <v>59</v>
      </c>
      <c r="E623" s="54" t="s">
        <v>60</v>
      </c>
      <c r="F623" s="54" t="s">
        <v>61</v>
      </c>
      <c r="G623" s="54" t="s">
        <v>62</v>
      </c>
    </row>
    <row r="624" spans="2:7" ht="13.5" customHeight="1">
      <c r="B624" s="51" t="s">
        <v>63</v>
      </c>
      <c r="C624" s="55" t="e">
        <f>VLOOKUP(Exam_09,AverageScores,b5_perception,FALSE)</f>
        <v>#DIV/0!</v>
      </c>
      <c r="D624" s="55" t="e">
        <f>VLOOKUP(Exam_09,AverageScores,b5_perception,FALSE)</f>
        <v>#DIV/0!</v>
      </c>
      <c r="E624" s="55" t="e">
        <f>VLOOKUP(Exam_09,AverageScores,b5_perception,FALSE)</f>
        <v>#DIV/0!</v>
      </c>
      <c r="F624" s="55" t="e">
        <f>VLOOKUP(Exam_09,AverageScores,b5_perception,FALSE)</f>
        <v>#DIV/0!</v>
      </c>
      <c r="G624" s="55" t="e">
        <f>VLOOKUP(Exam_09,AverageScores,b5_perception,FALSE)</f>
        <v>#DIV/0!</v>
      </c>
    </row>
    <row r="625" spans="2:7" ht="13.5" customHeight="1">
      <c r="B625" s="51" t="s">
        <v>69</v>
      </c>
      <c r="C625" s="55" t="e">
        <f>VLOOKUP(Exam_09,AverageScores,b5_descriptive,FALSE)</f>
        <v>#DIV/0!</v>
      </c>
      <c r="D625" s="55" t="e">
        <f>VLOOKUP(Exam_09,AverageScores,b5_descriptive,FALSE)</f>
        <v>#DIV/0!</v>
      </c>
      <c r="E625" s="55" t="e">
        <f>VLOOKUP(Exam_09,AverageScores,b5_descriptive,FALSE)</f>
        <v>#DIV/0!</v>
      </c>
      <c r="F625" s="55" t="e">
        <f>VLOOKUP(Exam_09,AverageScores,b5_descriptive,FALSE)</f>
        <v>#DIV/0!</v>
      </c>
      <c r="G625" s="55" t="e">
        <f>VLOOKUP(Exam_09,AverageScores,b5_descriptive,FALSE)</f>
        <v>#DIV/0!</v>
      </c>
    </row>
    <row r="626" spans="2:7" ht="13.5" customHeight="1">
      <c r="B626" s="51" t="s">
        <v>64</v>
      </c>
      <c r="C626" s="55" t="e">
        <f>VLOOKUP(Exam_09,AverageScores,b5_feedback,FALSE)</f>
        <v>#DIV/0!</v>
      </c>
      <c r="D626" s="55" t="e">
        <f>VLOOKUP(Exam_09,AverageScores,b5_feedback,FALSE)</f>
        <v>#DIV/0!</v>
      </c>
      <c r="E626" s="55" t="e">
        <f>VLOOKUP(Exam_09,AverageScores,b5_feedback,FALSE)</f>
        <v>#DIV/0!</v>
      </c>
      <c r="F626" s="55" t="e">
        <f>VLOOKUP(Exam_09,AverageScores,b5_feedback,FALSE)</f>
        <v>#DIV/0!</v>
      </c>
      <c r="G626" s="55" t="e">
        <f>VLOOKUP(Exam_09,AverageScores,b5_feedback,FALSE)</f>
        <v>#DIV/0!</v>
      </c>
    </row>
    <row r="627" spans="2:7" ht="13.5" customHeight="1">
      <c r="B627" s="51" t="s">
        <v>65</v>
      </c>
      <c r="C627" s="55" t="e">
        <f>VLOOKUP(Exam_09,AverageScores,b5_completeness,FALSE)</f>
        <v>#DIV/0!</v>
      </c>
      <c r="D627" s="55" t="e">
        <f>VLOOKUP(Exam_09,AverageScores,b5_completeness,FALSE)</f>
        <v>#DIV/0!</v>
      </c>
      <c r="E627" s="55" t="e">
        <f>VLOOKUP(Exam_09,AverageScores,b5_completeness,FALSE)</f>
        <v>#DIV/0!</v>
      </c>
      <c r="F627" s="55" t="e">
        <f>VLOOKUP(Exam_09,AverageScores,b5_completeness,FALSE)</f>
        <v>#DIV/0!</v>
      </c>
      <c r="G627" s="55" t="e">
        <f>VLOOKUP(Exam_09,AverageScores,b5_completeness,FALSE)</f>
        <v>#DIV/0!</v>
      </c>
    </row>
    <row r="628" spans="2:7" ht="13.5" customHeight="1">
      <c r="B628" s="51" t="s">
        <v>66</v>
      </c>
      <c r="C628" s="55">
        <f>VLOOKUP(Exam_09,ScoringAccuracyTable,b5_accuracy,FALSE)</f>
      </c>
      <c r="D628" s="55">
        <f>VLOOKUP(Exam_09,ScoringAccuracyTable,b5_accuracy,FALSE)</f>
      </c>
      <c r="E628" s="55">
        <f>VLOOKUP(Exam_09,ScoringAccuracyTable,b5_accuracy,FALSE)</f>
      </c>
      <c r="F628" s="55">
        <f>VLOOKUP(Exam_09,ScoringAccuracyTable,b5_accuracy,FALSE)</f>
      </c>
      <c r="G628" s="55">
        <f>VLOOKUP(Exam_09,ScoringAccuracyTable,b5_accuracy,FALSE)</f>
      </c>
    </row>
    <row r="629" spans="2:7" ht="13.5" customHeight="1">
      <c r="B629" s="241"/>
      <c r="C629" s="241"/>
      <c r="D629" s="241"/>
      <c r="E629" s="241"/>
      <c r="F629" s="241"/>
      <c r="G629" s="241"/>
    </row>
    <row r="630" spans="2:7" ht="13.5" customHeight="1">
      <c r="B630" s="52" t="s">
        <v>73</v>
      </c>
      <c r="C630" s="242" t="str">
        <f>BeerName6</f>
        <v>Style6</v>
      </c>
      <c r="D630" s="242"/>
      <c r="E630" s="242"/>
      <c r="F630" s="242"/>
      <c r="G630" s="242"/>
    </row>
    <row r="631" spans="2:7" ht="13.5" customHeight="1">
      <c r="B631" s="241"/>
      <c r="C631" s="241"/>
      <c r="D631" s="241"/>
      <c r="E631" s="241"/>
      <c r="F631" s="241"/>
      <c r="G631" s="241"/>
    </row>
    <row r="632" spans="2:7" ht="13.5" customHeight="1">
      <c r="B632" s="50" t="s">
        <v>68</v>
      </c>
      <c r="C632" s="54" t="s">
        <v>58</v>
      </c>
      <c r="D632" s="54" t="s">
        <v>59</v>
      </c>
      <c r="E632" s="54" t="s">
        <v>60</v>
      </c>
      <c r="F632" s="54" t="s">
        <v>61</v>
      </c>
      <c r="G632" s="54" t="s">
        <v>62</v>
      </c>
    </row>
    <row r="633" spans="2:7" ht="13.5" customHeight="1">
      <c r="B633" s="51" t="s">
        <v>63</v>
      </c>
      <c r="C633" s="55" t="e">
        <f>VLOOKUP(Exam_09,AverageScores,b6_perception,FALSE)</f>
        <v>#DIV/0!</v>
      </c>
      <c r="D633" s="55" t="e">
        <f>VLOOKUP(Exam_09,AverageScores,b6_perception,FALSE)</f>
        <v>#DIV/0!</v>
      </c>
      <c r="E633" s="55" t="e">
        <f>VLOOKUP(Exam_09,AverageScores,b6_perception,FALSE)</f>
        <v>#DIV/0!</v>
      </c>
      <c r="F633" s="55" t="e">
        <f>VLOOKUP(Exam_09,AverageScores,b6_perception,FALSE)</f>
        <v>#DIV/0!</v>
      </c>
      <c r="G633" s="55" t="e">
        <f>VLOOKUP(Exam_09,AverageScores,b6_perception,FALSE)</f>
        <v>#DIV/0!</v>
      </c>
    </row>
    <row r="634" spans="2:7" ht="13.5" customHeight="1">
      <c r="B634" s="51" t="s">
        <v>69</v>
      </c>
      <c r="C634" s="55" t="e">
        <f>VLOOKUP(Exam_09,AverageScores,b6_descriptive,FALSE)</f>
        <v>#DIV/0!</v>
      </c>
      <c r="D634" s="55" t="e">
        <f>VLOOKUP(Exam_09,AverageScores,b6_descriptive,FALSE)</f>
        <v>#DIV/0!</v>
      </c>
      <c r="E634" s="55" t="e">
        <f>VLOOKUP(Exam_09,AverageScores,b6_descriptive,FALSE)</f>
        <v>#DIV/0!</v>
      </c>
      <c r="F634" s="55" t="e">
        <f>VLOOKUP(Exam_09,AverageScores,b6_descriptive,FALSE)</f>
        <v>#DIV/0!</v>
      </c>
      <c r="G634" s="55" t="e">
        <f>VLOOKUP(Exam_09,AverageScores,b6_descriptive,FALSE)</f>
        <v>#DIV/0!</v>
      </c>
    </row>
    <row r="635" spans="2:7" ht="13.5" customHeight="1">
      <c r="B635" s="51" t="s">
        <v>64</v>
      </c>
      <c r="C635" s="55" t="e">
        <f>VLOOKUP(Exam_09,AverageScores,b6_feedback,FALSE)</f>
        <v>#DIV/0!</v>
      </c>
      <c r="D635" s="55" t="e">
        <f>VLOOKUP(Exam_09,AverageScores,b6_feedback,FALSE)</f>
        <v>#DIV/0!</v>
      </c>
      <c r="E635" s="55" t="e">
        <f>VLOOKUP(Exam_09,AverageScores,b6_feedback,FALSE)</f>
        <v>#DIV/0!</v>
      </c>
      <c r="F635" s="55" t="e">
        <f>VLOOKUP(Exam_09,AverageScores,b6_feedback,FALSE)</f>
        <v>#DIV/0!</v>
      </c>
      <c r="G635" s="55" t="e">
        <f>VLOOKUP(Exam_09,AverageScores,b6_feedback,FALSE)</f>
        <v>#DIV/0!</v>
      </c>
    </row>
    <row r="636" spans="2:7" ht="13.5" customHeight="1">
      <c r="B636" s="51" t="s">
        <v>65</v>
      </c>
      <c r="C636" s="55" t="e">
        <f>VLOOKUP(Exam_09,AverageScores,b6_completeness,FALSE)</f>
        <v>#DIV/0!</v>
      </c>
      <c r="D636" s="55" t="e">
        <f>VLOOKUP(Exam_09,AverageScores,b6_completeness,FALSE)</f>
        <v>#DIV/0!</v>
      </c>
      <c r="E636" s="55" t="e">
        <f>VLOOKUP(Exam_09,AverageScores,b6_completeness,FALSE)</f>
        <v>#DIV/0!</v>
      </c>
      <c r="F636" s="55" t="e">
        <f>VLOOKUP(Exam_09,AverageScores,b6_completeness,FALSE)</f>
        <v>#DIV/0!</v>
      </c>
      <c r="G636" s="55" t="e">
        <f>VLOOKUP(Exam_09,AverageScores,b6_completeness,FALSE)</f>
        <v>#DIV/0!</v>
      </c>
    </row>
    <row r="637" spans="2:7" ht="13.5" customHeight="1">
      <c r="B637" s="51" t="s">
        <v>66</v>
      </c>
      <c r="C637" s="55">
        <f>VLOOKUP(Exam_09,ScoringAccuracyTable,b6_accuracy,FALSE)</f>
      </c>
      <c r="D637" s="55">
        <f>VLOOKUP(Exam_09,ScoringAccuracyTable,b6_accuracy,FALSE)</f>
      </c>
      <c r="E637" s="55">
        <f>VLOOKUP(Exam_09,ScoringAccuracyTable,b6_accuracy,FALSE)</f>
      </c>
      <c r="F637" s="55">
        <f>VLOOKUP(Exam_09,ScoringAccuracyTable,b6_accuracy,FALSE)</f>
      </c>
      <c r="G637" s="55">
        <f>VLOOKUP(Exam_09,ScoringAccuracyTable,b6_accuracy,FALSE)</f>
      </c>
    </row>
    <row r="640" spans="1:7" ht="13.5" customHeight="1">
      <c r="A640" s="131" t="s">
        <v>18</v>
      </c>
      <c r="B640" s="243" t="s">
        <v>70</v>
      </c>
      <c r="C640" s="243"/>
      <c r="D640" s="243"/>
      <c r="E640" s="243"/>
      <c r="F640" s="243"/>
      <c r="G640" s="243"/>
    </row>
    <row r="641" spans="1:7" ht="13.5" customHeight="1">
      <c r="A641" s="132">
        <f>Exam_10</f>
        <v>10</v>
      </c>
      <c r="B641" s="244"/>
      <c r="C641" s="244"/>
      <c r="D641" s="244"/>
      <c r="E641" s="244"/>
      <c r="F641" s="244"/>
      <c r="G641" s="244"/>
    </row>
    <row r="642" spans="2:7" ht="13.5" customHeight="1">
      <c r="B642" s="50" t="s">
        <v>68</v>
      </c>
      <c r="C642" s="54" t="s">
        <v>58</v>
      </c>
      <c r="D642" s="54" t="s">
        <v>59</v>
      </c>
      <c r="E642" s="54" t="s">
        <v>60</v>
      </c>
      <c r="F642" s="54" t="s">
        <v>61</v>
      </c>
      <c r="G642" s="54" t="s">
        <v>62</v>
      </c>
    </row>
    <row r="643" spans="2:7" ht="13.5" customHeight="1">
      <c r="B643" s="51" t="s">
        <v>63</v>
      </c>
      <c r="C643" s="55" t="e">
        <f>0.2*AVERAGE(VLOOKUP(Exam_10,Sum_Accuracy,9,FALSE),VLOOKUP(Exam_10,Sum_Accuracy,10,FALSE))</f>
        <v>#VALUE!</v>
      </c>
      <c r="D643" s="55" t="e">
        <f>0.2*AVERAGE(VLOOKUP(Exam_10,Sum_Accuracy,9,FALSE),VLOOKUP(Exam_10,Sum_Accuracy,10,FALSE))</f>
        <v>#VALUE!</v>
      </c>
      <c r="E643" s="55" t="e">
        <f>0.2*AVERAGE(VLOOKUP(Exam_10,Sum_Accuracy,9,FALSE),VLOOKUP(Exam_10,Sum_Accuracy,10,FALSE))</f>
        <v>#VALUE!</v>
      </c>
      <c r="F643" s="55" t="e">
        <f>0.2*AVERAGE(VLOOKUP(Exam_10,Sum_Accuracy,9,FALSE),VLOOKUP(Exam_10,Sum_Accuracy,10,FALSE))</f>
        <v>#VALUE!</v>
      </c>
      <c r="G643" s="55" t="e">
        <f>0.2*AVERAGE(VLOOKUP(Exam_10,Sum_Accuracy,9,FALSE),VLOOKUP(Exam_10,Sum_Accuracy,10,FALSE))</f>
        <v>#VALUE!</v>
      </c>
    </row>
    <row r="644" spans="2:7" ht="13.5" customHeight="1">
      <c r="B644" s="51" t="s">
        <v>69</v>
      </c>
      <c r="C644" s="55" t="e">
        <f>0.2*AVERAGE(VLOOKUP(Exam_10,Sum_Accuracy,11,FALSE),VLOOKUP(Exam_10,Sum_Accuracy,12,FALSE))</f>
        <v>#VALUE!</v>
      </c>
      <c r="D644" s="55" t="e">
        <f>0.2*AVERAGE(VLOOKUP(Exam_10,Sum_Accuracy,11,FALSE),VLOOKUP(Exam_10,Sum_Accuracy,12,FALSE))</f>
        <v>#VALUE!</v>
      </c>
      <c r="E644" s="55" t="e">
        <f>0.2*AVERAGE(VLOOKUP(Exam_10,Sum_Accuracy,11,FALSE),VLOOKUP(Exam_10,Sum_Accuracy,12,FALSE))</f>
        <v>#VALUE!</v>
      </c>
      <c r="F644" s="55" t="e">
        <f>0.2*AVERAGE(VLOOKUP(Exam_10,Sum_Accuracy,11,FALSE),VLOOKUP(Exam_10,Sum_Accuracy,12,FALSE))</f>
        <v>#VALUE!</v>
      </c>
      <c r="G644" s="55" t="e">
        <f>0.2*AVERAGE(VLOOKUP(Exam_10,Sum_Accuracy,11,FALSE),VLOOKUP(Exam_10,Sum_Accuracy,12,FALSE))</f>
        <v>#VALUE!</v>
      </c>
    </row>
    <row r="645" spans="2:7" ht="13.5" customHeight="1">
      <c r="B645" s="51" t="s">
        <v>64</v>
      </c>
      <c r="C645" s="55" t="e">
        <f>0.2*AVERAGE(VLOOKUP(Exam_10,Sum_Accuracy,13,FALSE),VLOOKUP(Exam_10,Sum_Accuracy,14,FALSE))</f>
        <v>#VALUE!</v>
      </c>
      <c r="D645" s="55" t="e">
        <f>0.2*AVERAGE(VLOOKUP(Exam_10,Sum_Accuracy,13,FALSE),VLOOKUP(Exam_10,Sum_Accuracy,14,FALSE))</f>
        <v>#VALUE!</v>
      </c>
      <c r="E645" s="55" t="e">
        <f>0.2*AVERAGE(VLOOKUP(Exam_10,Sum_Accuracy,13,FALSE),VLOOKUP(Exam_10,Sum_Accuracy,14,FALSE))</f>
        <v>#VALUE!</v>
      </c>
      <c r="F645" s="55" t="e">
        <f>0.2*AVERAGE(VLOOKUP(Exam_10,Sum_Accuracy,13,FALSE),VLOOKUP(Exam_10,Sum_Accuracy,14,FALSE))</f>
        <v>#VALUE!</v>
      </c>
      <c r="G645" s="55" t="e">
        <f>0.2*AVERAGE(VLOOKUP(Exam_10,Sum_Accuracy,13,FALSE),VLOOKUP(Exam_10,Sum_Accuracy,14,FALSE))</f>
        <v>#VALUE!</v>
      </c>
    </row>
    <row r="646" spans="2:7" ht="13.5" customHeight="1">
      <c r="B646" s="51" t="s">
        <v>65</v>
      </c>
      <c r="C646" s="55" t="e">
        <f>0.2*AVERAGE(VLOOKUP(Exam_10,Sum_Accuracy,15,FALSE),VLOOKUP(Exam_10,Sum_Accuracy,16,FALSE))</f>
        <v>#VALUE!</v>
      </c>
      <c r="D646" s="55" t="e">
        <f>0.2*AVERAGE(VLOOKUP(Exam_10,Sum_Accuracy,15,FALSE),VLOOKUP(Exam_10,Sum_Accuracy,16,FALSE))</f>
        <v>#VALUE!</v>
      </c>
      <c r="E646" s="55" t="e">
        <f>0.2*AVERAGE(VLOOKUP(Exam_10,Sum_Accuracy,15,FALSE),VLOOKUP(Exam_10,Sum_Accuracy,16,FALSE))</f>
        <v>#VALUE!</v>
      </c>
      <c r="F646" s="55" t="e">
        <f>0.2*AVERAGE(VLOOKUP(Exam_10,Sum_Accuracy,15,FALSE),VLOOKUP(Exam_10,Sum_Accuracy,16,FALSE))</f>
        <v>#VALUE!</v>
      </c>
      <c r="G646" s="55" t="e">
        <f>0.2*AVERAGE(VLOOKUP(Exam_10,Sum_Accuracy,15,FALSE),VLOOKUP(Exam_10,Sum_Accuracy,16,FALSE))</f>
        <v>#VALUE!</v>
      </c>
    </row>
    <row r="647" spans="2:7" ht="13.5" customHeight="1">
      <c r="B647" s="51" t="s">
        <v>66</v>
      </c>
      <c r="C647" s="55" t="e">
        <f>VLOOKUP(Exam_10,Sum_Accuracy,8,FALSE)/5</f>
        <v>#VALUE!</v>
      </c>
      <c r="D647" s="55" t="e">
        <f>VLOOKUP(Exam_10,Sum_Accuracy,8,FALSE)/5</f>
        <v>#VALUE!</v>
      </c>
      <c r="E647" s="55" t="e">
        <f>VLOOKUP(Exam_10,Sum_Accuracy,8,FALSE)/5</f>
        <v>#VALUE!</v>
      </c>
      <c r="F647" s="55" t="e">
        <f>VLOOKUP(Exam_10,Sum_Accuracy,8,FALSE)/5</f>
        <v>#VALUE!</v>
      </c>
      <c r="G647" s="55" t="e">
        <f>VLOOKUP(Exam_10,Sum_Accuracy,8,FALSE)/5</f>
        <v>#VALUE!</v>
      </c>
    </row>
    <row r="648" spans="2:7" ht="13.5" customHeight="1">
      <c r="B648" s="241"/>
      <c r="C648" s="241"/>
      <c r="D648" s="241"/>
      <c r="E648" s="241"/>
      <c r="F648" s="241"/>
      <c r="G648" s="241"/>
    </row>
    <row r="650" spans="2:7" ht="13.5" customHeight="1">
      <c r="B650" s="245" t="s">
        <v>67</v>
      </c>
      <c r="C650" s="245"/>
      <c r="D650" s="245"/>
      <c r="E650" s="245"/>
      <c r="F650" s="245"/>
      <c r="G650" s="245"/>
    </row>
    <row r="651" spans="2:7" ht="13.5" customHeight="1">
      <c r="B651" s="246"/>
      <c r="C651" s="246"/>
      <c r="D651" s="246"/>
      <c r="E651" s="246"/>
      <c r="F651" s="246"/>
      <c r="G651" s="246"/>
    </row>
    <row r="652" spans="2:7" ht="13.5" customHeight="1">
      <c r="B652" s="52" t="s">
        <v>71</v>
      </c>
      <c r="C652" s="242" t="str">
        <f>BeerName1</f>
        <v>Style1</v>
      </c>
      <c r="D652" s="242"/>
      <c r="E652" s="242"/>
      <c r="F652" s="242"/>
      <c r="G652" s="242"/>
    </row>
    <row r="653" spans="2:7" ht="13.5" customHeight="1">
      <c r="B653" s="241"/>
      <c r="C653" s="241"/>
      <c r="D653" s="241"/>
      <c r="E653" s="241"/>
      <c r="F653" s="241"/>
      <c r="G653" s="241"/>
    </row>
    <row r="654" spans="2:7" ht="13.5" customHeight="1">
      <c r="B654" s="50" t="s">
        <v>68</v>
      </c>
      <c r="C654" s="54" t="s">
        <v>58</v>
      </c>
      <c r="D654" s="54" t="s">
        <v>59</v>
      </c>
      <c r="E654" s="54" t="s">
        <v>60</v>
      </c>
      <c r="F654" s="54" t="s">
        <v>61</v>
      </c>
      <c r="G654" s="54" t="s">
        <v>62</v>
      </c>
    </row>
    <row r="655" spans="2:7" ht="13.5" customHeight="1">
      <c r="B655" s="51" t="s">
        <v>63</v>
      </c>
      <c r="C655" s="55" t="e">
        <f>VLOOKUP(Exam_10,AverageScores,b1_perception,FALSE)</f>
        <v>#DIV/0!</v>
      </c>
      <c r="D655" s="55" t="e">
        <f>VLOOKUP(Exam_10,AverageScores,b1_perception,FALSE)</f>
        <v>#DIV/0!</v>
      </c>
      <c r="E655" s="55" t="e">
        <f>VLOOKUP(Exam_10,AverageScores,b1_perception,FALSE)</f>
        <v>#DIV/0!</v>
      </c>
      <c r="F655" s="55" t="e">
        <f>VLOOKUP(Exam_10,AverageScores,b1_perception,FALSE)</f>
        <v>#DIV/0!</v>
      </c>
      <c r="G655" s="55" t="e">
        <f>VLOOKUP(Exam_10,AverageScores,b1_perception,FALSE)</f>
        <v>#DIV/0!</v>
      </c>
    </row>
    <row r="656" spans="2:7" ht="13.5" customHeight="1">
      <c r="B656" s="51" t="s">
        <v>69</v>
      </c>
      <c r="C656" s="55" t="e">
        <f>VLOOKUP(Exam_10,AverageScores,b1_descriptive,FALSE)</f>
        <v>#DIV/0!</v>
      </c>
      <c r="D656" s="55" t="e">
        <f>VLOOKUP(Exam_10,AverageScores,b1_descriptive,FALSE)</f>
        <v>#DIV/0!</v>
      </c>
      <c r="E656" s="55" t="e">
        <f>VLOOKUP(Exam_10,AverageScores,b1_descriptive,FALSE)</f>
        <v>#DIV/0!</v>
      </c>
      <c r="F656" s="55" t="e">
        <f>VLOOKUP(Exam_10,AverageScores,b1_descriptive,FALSE)</f>
        <v>#DIV/0!</v>
      </c>
      <c r="G656" s="55" t="e">
        <f>VLOOKUP(Exam_10,AverageScores,b1_descriptive,FALSE)</f>
        <v>#DIV/0!</v>
      </c>
    </row>
    <row r="657" spans="2:7" ht="13.5" customHeight="1">
      <c r="B657" s="51" t="s">
        <v>64</v>
      </c>
      <c r="C657" s="55" t="e">
        <f>VLOOKUP(Exam_10,AverageScores,b1_feedback,FALSE)</f>
        <v>#DIV/0!</v>
      </c>
      <c r="D657" s="55" t="e">
        <f>VLOOKUP(Exam_10,AverageScores,b1_feedback,FALSE)</f>
        <v>#DIV/0!</v>
      </c>
      <c r="E657" s="55" t="e">
        <f>VLOOKUP(Exam_10,AverageScores,b1_feedback,FALSE)</f>
        <v>#DIV/0!</v>
      </c>
      <c r="F657" s="55" t="e">
        <f>VLOOKUP(Exam_10,AverageScores,b1_feedback,FALSE)</f>
        <v>#DIV/0!</v>
      </c>
      <c r="G657" s="55" t="e">
        <f>VLOOKUP(Exam_10,AverageScores,b1_feedback,FALSE)</f>
        <v>#DIV/0!</v>
      </c>
    </row>
    <row r="658" spans="2:7" ht="13.5" customHeight="1">
      <c r="B658" s="51" t="s">
        <v>65</v>
      </c>
      <c r="C658" s="55" t="e">
        <f>VLOOKUP(Exam_10,AverageScores,b1_completeness,FALSE)</f>
        <v>#DIV/0!</v>
      </c>
      <c r="D658" s="55" t="e">
        <f>VLOOKUP(Exam_10,AverageScores,b1_completeness,FALSE)</f>
        <v>#DIV/0!</v>
      </c>
      <c r="E658" s="55" t="e">
        <f>VLOOKUP(Exam_10,AverageScores,b1_completeness,FALSE)</f>
        <v>#DIV/0!</v>
      </c>
      <c r="F658" s="55" t="e">
        <f>VLOOKUP(Exam_10,AverageScores,b1_completeness,FALSE)</f>
        <v>#DIV/0!</v>
      </c>
      <c r="G658" s="55" t="e">
        <f>VLOOKUP(Exam_10,AverageScores,b1_completeness,FALSE)</f>
        <v>#DIV/0!</v>
      </c>
    </row>
    <row r="659" spans="2:7" ht="13.5" customHeight="1">
      <c r="B659" s="51" t="s">
        <v>66</v>
      </c>
      <c r="C659" s="55">
        <f>VLOOKUP(Exam_10,ScoringAccuracyTable,b1_accuracy,FALSE)</f>
      </c>
      <c r="D659" s="55">
        <f>VLOOKUP(Exam_10,ScoringAccuracyTable,b1_accuracy,FALSE)</f>
      </c>
      <c r="E659" s="55">
        <f>VLOOKUP(Exam_10,ScoringAccuracyTable,b1_accuracy,FALSE)</f>
      </c>
      <c r="F659" s="55">
        <f>VLOOKUP(Exam_10,ScoringAccuracyTable,b1_accuracy,FALSE)</f>
      </c>
      <c r="G659" s="55">
        <f>VLOOKUP(Exam_10,ScoringAccuracyTable,b1_accuracy,FALSE)</f>
      </c>
    </row>
    <row r="660" spans="2:7" ht="13.5" customHeight="1">
      <c r="B660" s="241"/>
      <c r="C660" s="241"/>
      <c r="D660" s="241"/>
      <c r="E660" s="241"/>
      <c r="F660" s="241"/>
      <c r="G660" s="241"/>
    </row>
    <row r="661" spans="2:7" ht="13.5" customHeight="1">
      <c r="B661" s="52" t="s">
        <v>72</v>
      </c>
      <c r="C661" s="242" t="str">
        <f>BeerName2</f>
        <v>Style2</v>
      </c>
      <c r="D661" s="242"/>
      <c r="E661" s="242"/>
      <c r="F661" s="242"/>
      <c r="G661" s="242"/>
    </row>
    <row r="662" spans="2:7" ht="13.5" customHeight="1">
      <c r="B662" s="247"/>
      <c r="C662" s="247"/>
      <c r="D662" s="247"/>
      <c r="E662" s="247"/>
      <c r="F662" s="247"/>
      <c r="G662" s="247"/>
    </row>
    <row r="663" spans="2:7" ht="13.5" customHeight="1">
      <c r="B663" s="50" t="s">
        <v>68</v>
      </c>
      <c r="C663" s="56" t="s">
        <v>58</v>
      </c>
      <c r="D663" s="56" t="s">
        <v>59</v>
      </c>
      <c r="E663" s="56" t="s">
        <v>60</v>
      </c>
      <c r="F663" s="56" t="s">
        <v>61</v>
      </c>
      <c r="G663" s="56" t="s">
        <v>62</v>
      </c>
    </row>
    <row r="664" spans="2:7" ht="13.5" customHeight="1">
      <c r="B664" s="51" t="s">
        <v>63</v>
      </c>
      <c r="C664" s="55" t="e">
        <f>VLOOKUP(Exam_10,AverageScores,b2_perceptive,FALSE)</f>
        <v>#DIV/0!</v>
      </c>
      <c r="D664" s="55" t="e">
        <f>VLOOKUP(Exam_10,AverageScores,b2_perceptive,FALSE)</f>
        <v>#DIV/0!</v>
      </c>
      <c r="E664" s="55" t="e">
        <f>VLOOKUP(Exam_10,AverageScores,b2_perceptive,FALSE)</f>
        <v>#DIV/0!</v>
      </c>
      <c r="F664" s="55" t="e">
        <f>VLOOKUP(Exam_10,AverageScores,b2_perceptive,FALSE)</f>
        <v>#DIV/0!</v>
      </c>
      <c r="G664" s="55" t="e">
        <f>VLOOKUP(Exam_10,AverageScores,b2_perceptive,FALSE)</f>
        <v>#DIV/0!</v>
      </c>
    </row>
    <row r="665" spans="2:7" ht="13.5" customHeight="1">
      <c r="B665" s="51" t="s">
        <v>69</v>
      </c>
      <c r="C665" s="55" t="e">
        <f>VLOOKUP(Exam_10,AverageScores,b2_descriptive,FALSE)</f>
        <v>#DIV/0!</v>
      </c>
      <c r="D665" s="55" t="e">
        <f>VLOOKUP(Exam_10,AverageScores,b2_descriptive,FALSE)</f>
        <v>#DIV/0!</v>
      </c>
      <c r="E665" s="55" t="e">
        <f>VLOOKUP(Exam_10,AverageScores,b2_descriptive,FALSE)</f>
        <v>#DIV/0!</v>
      </c>
      <c r="F665" s="55" t="e">
        <f>VLOOKUP(Exam_10,AverageScores,b2_descriptive,FALSE)</f>
        <v>#DIV/0!</v>
      </c>
      <c r="G665" s="55" t="e">
        <f>VLOOKUP(Exam_10,AverageScores,b2_descriptive,FALSE)</f>
        <v>#DIV/0!</v>
      </c>
    </row>
    <row r="666" spans="2:7" ht="13.5" customHeight="1">
      <c r="B666" s="51" t="s">
        <v>64</v>
      </c>
      <c r="C666" s="55" t="e">
        <f>VLOOKUP(Exam_10,AverageScores,b2_feedback,FALSE)</f>
        <v>#DIV/0!</v>
      </c>
      <c r="D666" s="55" t="e">
        <f>VLOOKUP(Exam_10,AverageScores,b2_feedback,FALSE)</f>
        <v>#DIV/0!</v>
      </c>
      <c r="E666" s="55" t="e">
        <f>VLOOKUP(Exam_10,AverageScores,b2_feedback,FALSE)</f>
        <v>#DIV/0!</v>
      </c>
      <c r="F666" s="55" t="e">
        <f>VLOOKUP(Exam_10,AverageScores,b2_feedback,FALSE)</f>
        <v>#DIV/0!</v>
      </c>
      <c r="G666" s="55" t="e">
        <f>VLOOKUP(Exam_10,AverageScores,b2_feedback,FALSE)</f>
        <v>#DIV/0!</v>
      </c>
    </row>
    <row r="667" spans="2:7" ht="13.5" customHeight="1">
      <c r="B667" s="51" t="s">
        <v>65</v>
      </c>
      <c r="C667" s="55" t="e">
        <f>VLOOKUP(Exam_10,AverageScores,b2_completeness,FALSE)</f>
        <v>#DIV/0!</v>
      </c>
      <c r="D667" s="55" t="e">
        <f>VLOOKUP(Exam_10,AverageScores,b2_completeness,FALSE)</f>
        <v>#DIV/0!</v>
      </c>
      <c r="E667" s="55" t="e">
        <f>VLOOKUP(Exam_10,AverageScores,b2_completeness,FALSE)</f>
        <v>#DIV/0!</v>
      </c>
      <c r="F667" s="55" t="e">
        <f>VLOOKUP(Exam_10,AverageScores,b2_completeness,FALSE)</f>
        <v>#DIV/0!</v>
      </c>
      <c r="G667" s="55" t="e">
        <f>VLOOKUP(Exam_10,AverageScores,b2_completeness,FALSE)</f>
        <v>#DIV/0!</v>
      </c>
    </row>
    <row r="668" spans="2:7" ht="13.5" customHeight="1">
      <c r="B668" s="51" t="s">
        <v>66</v>
      </c>
      <c r="C668" s="55">
        <f>VLOOKUP(Exam_10,ScoringAccuracyTable,b2_accuracy,FALSE)</f>
      </c>
      <c r="D668" s="55">
        <f>VLOOKUP(Exam_10,ScoringAccuracyTable,b2_accuracy,FALSE)</f>
      </c>
      <c r="E668" s="55">
        <f>VLOOKUP(Exam_10,ScoringAccuracyTable,b2_accuracy,FALSE)</f>
      </c>
      <c r="F668" s="55">
        <f>VLOOKUP(Exam_10,ScoringAccuracyTable,b2_accuracy,FALSE)</f>
      </c>
      <c r="G668" s="55">
        <f>VLOOKUP(Exam_10,ScoringAccuracyTable,b2_accuracy,FALSE)</f>
      </c>
    </row>
    <row r="669" spans="2:7" ht="13.5" customHeight="1">
      <c r="B669" s="241"/>
      <c r="C669" s="241"/>
      <c r="D669" s="241"/>
      <c r="E669" s="241"/>
      <c r="F669" s="241"/>
      <c r="G669" s="241"/>
    </row>
    <row r="670" spans="2:7" ht="13.5" customHeight="1">
      <c r="B670" s="52" t="s">
        <v>76</v>
      </c>
      <c r="C670" s="242" t="str">
        <f>BeerName3</f>
        <v>Style3</v>
      </c>
      <c r="D670" s="242"/>
      <c r="E670" s="242"/>
      <c r="F670" s="242"/>
      <c r="G670" s="242"/>
    </row>
    <row r="671" spans="2:7" ht="13.5" customHeight="1">
      <c r="B671" s="247"/>
      <c r="C671" s="247"/>
      <c r="D671" s="247"/>
      <c r="E671" s="247"/>
      <c r="F671" s="247"/>
      <c r="G671" s="247"/>
    </row>
    <row r="672" spans="2:7" ht="13.5" customHeight="1">
      <c r="B672" s="50" t="s">
        <v>68</v>
      </c>
      <c r="C672" s="54" t="s">
        <v>58</v>
      </c>
      <c r="D672" s="54" t="s">
        <v>59</v>
      </c>
      <c r="E672" s="54" t="s">
        <v>60</v>
      </c>
      <c r="F672" s="54" t="s">
        <v>61</v>
      </c>
      <c r="G672" s="54" t="s">
        <v>62</v>
      </c>
    </row>
    <row r="673" spans="2:7" ht="13.5" customHeight="1">
      <c r="B673" s="51" t="s">
        <v>63</v>
      </c>
      <c r="C673" s="55" t="e">
        <f>VLOOKUP(Exam_10,AverageScores,b3_perception,FALSE)</f>
        <v>#DIV/0!</v>
      </c>
      <c r="D673" s="55" t="e">
        <f>VLOOKUP(Exam_10,AverageScores,b3_perception,FALSE)</f>
        <v>#DIV/0!</v>
      </c>
      <c r="E673" s="55" t="e">
        <f>VLOOKUP(Exam_10,AverageScores,b3_perception,FALSE)</f>
        <v>#DIV/0!</v>
      </c>
      <c r="F673" s="55" t="e">
        <f>VLOOKUP(Exam_10,AverageScores,b3_perception,FALSE)</f>
        <v>#DIV/0!</v>
      </c>
      <c r="G673" s="55" t="e">
        <f>VLOOKUP(Exam_10,AverageScores,b3_perception,FALSE)</f>
        <v>#DIV/0!</v>
      </c>
    </row>
    <row r="674" spans="2:7" ht="13.5" customHeight="1">
      <c r="B674" s="51" t="s">
        <v>69</v>
      </c>
      <c r="C674" s="55" t="e">
        <f>VLOOKUP(Exam_10,AverageScores,b3_descriptive,FALSE)</f>
        <v>#DIV/0!</v>
      </c>
      <c r="D674" s="55" t="e">
        <f>VLOOKUP(Exam_10,AverageScores,b3_descriptive,FALSE)</f>
        <v>#DIV/0!</v>
      </c>
      <c r="E674" s="55" t="e">
        <f>VLOOKUP(Exam_10,AverageScores,b3_descriptive,FALSE)</f>
        <v>#DIV/0!</v>
      </c>
      <c r="F674" s="55" t="e">
        <f>VLOOKUP(Exam_10,AverageScores,b3_descriptive,FALSE)</f>
        <v>#DIV/0!</v>
      </c>
      <c r="G674" s="55" t="e">
        <f>VLOOKUP(Exam_10,AverageScores,b3_descriptive,FALSE)</f>
        <v>#DIV/0!</v>
      </c>
    </row>
    <row r="675" spans="2:7" ht="13.5" customHeight="1">
      <c r="B675" s="51" t="s">
        <v>64</v>
      </c>
      <c r="C675" s="55" t="e">
        <f>VLOOKUP(Exam_10,AverageScores,b3_feedback,FALSE)</f>
        <v>#DIV/0!</v>
      </c>
      <c r="D675" s="55" t="e">
        <f>VLOOKUP(Exam_10,AverageScores,b3_feedback,FALSE)</f>
        <v>#DIV/0!</v>
      </c>
      <c r="E675" s="55" t="e">
        <f>VLOOKUP(Exam_10,AverageScores,b3_feedback,FALSE)</f>
        <v>#DIV/0!</v>
      </c>
      <c r="F675" s="55" t="e">
        <f>VLOOKUP(Exam_10,AverageScores,b3_feedback,FALSE)</f>
        <v>#DIV/0!</v>
      </c>
      <c r="G675" s="55" t="e">
        <f>VLOOKUP(Exam_10,AverageScores,b3_feedback,FALSE)</f>
        <v>#DIV/0!</v>
      </c>
    </row>
    <row r="676" spans="2:7" ht="13.5" customHeight="1">
      <c r="B676" s="51" t="s">
        <v>65</v>
      </c>
      <c r="C676" s="55" t="e">
        <f>VLOOKUP(Exam_10,AverageScores,b3_completeness,FALSE)</f>
        <v>#DIV/0!</v>
      </c>
      <c r="D676" s="55" t="e">
        <f>VLOOKUP(Exam_10,AverageScores,b3_completeness,FALSE)</f>
        <v>#DIV/0!</v>
      </c>
      <c r="E676" s="55" t="e">
        <f>VLOOKUP(Exam_10,AverageScores,b3_completeness,FALSE)</f>
        <v>#DIV/0!</v>
      </c>
      <c r="F676" s="55" t="e">
        <f>VLOOKUP(Exam_10,AverageScores,b3_completeness,FALSE)</f>
        <v>#DIV/0!</v>
      </c>
      <c r="G676" s="55" t="e">
        <f>VLOOKUP(Exam_10,AverageScores,b3_completeness,FALSE)</f>
        <v>#DIV/0!</v>
      </c>
    </row>
    <row r="677" spans="2:7" ht="13.5" customHeight="1">
      <c r="B677" s="51" t="s">
        <v>66</v>
      </c>
      <c r="C677" s="55">
        <f>VLOOKUP(Exam_10,ScoringAccuracyTable,b3_accuracy,FALSE)</f>
      </c>
      <c r="D677" s="55">
        <f>VLOOKUP(Exam_10,ScoringAccuracyTable,b3_accuracy,FALSE)</f>
      </c>
      <c r="E677" s="55">
        <f>VLOOKUP(Exam_10,ScoringAccuracyTable,b3_accuracy,FALSE)</f>
      </c>
      <c r="F677" s="55">
        <f>VLOOKUP(Exam_10,ScoringAccuracyTable,b3_accuracy,FALSE)</f>
      </c>
      <c r="G677" s="55">
        <f>VLOOKUP(Exam_10,ScoringAccuracyTable,b3_accuracy,FALSE)</f>
      </c>
    </row>
    <row r="678" spans="2:7" ht="13.5" customHeight="1">
      <c r="B678" s="241"/>
      <c r="C678" s="241"/>
      <c r="D678" s="241"/>
      <c r="E678" s="241"/>
      <c r="F678" s="241"/>
      <c r="G678" s="241"/>
    </row>
    <row r="679" spans="2:7" ht="13.5" customHeight="1">
      <c r="B679" s="52" t="s">
        <v>75</v>
      </c>
      <c r="C679" s="242" t="str">
        <f>BeerName4</f>
        <v>Style4</v>
      </c>
      <c r="D679" s="242"/>
      <c r="E679" s="242"/>
      <c r="F679" s="242"/>
      <c r="G679" s="242"/>
    </row>
    <row r="680" spans="2:7" ht="13.5" customHeight="1">
      <c r="B680" s="241"/>
      <c r="C680" s="241"/>
      <c r="D680" s="241"/>
      <c r="E680" s="241"/>
      <c r="F680" s="241"/>
      <c r="G680" s="241"/>
    </row>
    <row r="681" spans="2:7" ht="13.5" customHeight="1">
      <c r="B681" s="50" t="s">
        <v>68</v>
      </c>
      <c r="C681" s="54" t="s">
        <v>58</v>
      </c>
      <c r="D681" s="54" t="s">
        <v>59</v>
      </c>
      <c r="E681" s="54" t="s">
        <v>60</v>
      </c>
      <c r="F681" s="54" t="s">
        <v>61</v>
      </c>
      <c r="G681" s="54" t="s">
        <v>62</v>
      </c>
    </row>
    <row r="682" spans="2:7" ht="13.5" customHeight="1">
      <c r="B682" s="51" t="s">
        <v>63</v>
      </c>
      <c r="C682" s="55" t="e">
        <f>VLOOKUP(Exam_10,AverageScores,b4_perception,FALSE)</f>
        <v>#DIV/0!</v>
      </c>
      <c r="D682" s="55" t="e">
        <f>VLOOKUP(Exam_10,AverageScores,b4_perception,FALSE)</f>
        <v>#DIV/0!</v>
      </c>
      <c r="E682" s="55" t="e">
        <f>VLOOKUP(Exam_10,AverageScores,b4_perception,FALSE)</f>
        <v>#DIV/0!</v>
      </c>
      <c r="F682" s="55" t="e">
        <f>VLOOKUP(Exam_10,AverageScores,b4_perception,FALSE)</f>
        <v>#DIV/0!</v>
      </c>
      <c r="G682" s="55" t="e">
        <f>VLOOKUP(Exam_10,AverageScores,b4_perception,FALSE)</f>
        <v>#DIV/0!</v>
      </c>
    </row>
    <row r="683" spans="2:7" ht="13.5" customHeight="1">
      <c r="B683" s="51" t="s">
        <v>69</v>
      </c>
      <c r="C683" s="55" t="e">
        <f>VLOOKUP(Exam_10,AverageScores,b4_descriptive,FALSE)</f>
        <v>#DIV/0!</v>
      </c>
      <c r="D683" s="55" t="e">
        <f>VLOOKUP(Exam_10,AverageScores,b4_descriptive,FALSE)</f>
        <v>#DIV/0!</v>
      </c>
      <c r="E683" s="55" t="e">
        <f>VLOOKUP(Exam_10,AverageScores,b4_descriptive,FALSE)</f>
        <v>#DIV/0!</v>
      </c>
      <c r="F683" s="55" t="e">
        <f>VLOOKUP(Exam_10,AverageScores,b4_descriptive,FALSE)</f>
        <v>#DIV/0!</v>
      </c>
      <c r="G683" s="55" t="e">
        <f>VLOOKUP(Exam_10,AverageScores,b4_descriptive,FALSE)</f>
        <v>#DIV/0!</v>
      </c>
    </row>
    <row r="684" spans="2:7" ht="13.5" customHeight="1">
      <c r="B684" s="51" t="s">
        <v>64</v>
      </c>
      <c r="C684" s="55" t="e">
        <f>VLOOKUP(Exam_10,AverageScores,b4_feedback,FALSE)</f>
        <v>#DIV/0!</v>
      </c>
      <c r="D684" s="55" t="e">
        <f>VLOOKUP(Exam_10,AverageScores,b4_feedback,FALSE)</f>
        <v>#DIV/0!</v>
      </c>
      <c r="E684" s="55" t="e">
        <f>VLOOKUP(Exam_10,AverageScores,b4_feedback,FALSE)</f>
        <v>#DIV/0!</v>
      </c>
      <c r="F684" s="55" t="e">
        <f>VLOOKUP(Exam_10,AverageScores,b4_feedback,FALSE)</f>
        <v>#DIV/0!</v>
      </c>
      <c r="G684" s="55" t="e">
        <f>VLOOKUP(Exam_10,AverageScores,b4_feedback,FALSE)</f>
        <v>#DIV/0!</v>
      </c>
    </row>
    <row r="685" spans="2:7" ht="13.5" customHeight="1">
      <c r="B685" s="51" t="s">
        <v>65</v>
      </c>
      <c r="C685" s="55" t="e">
        <f>VLOOKUP(Exam_10,AverageScores,b4_completeness,FALSE)</f>
        <v>#DIV/0!</v>
      </c>
      <c r="D685" s="55" t="e">
        <f>VLOOKUP(Exam_10,AverageScores,b4_completeness,FALSE)</f>
        <v>#DIV/0!</v>
      </c>
      <c r="E685" s="55" t="e">
        <f>VLOOKUP(Exam_10,AverageScores,b4_completeness,FALSE)</f>
        <v>#DIV/0!</v>
      </c>
      <c r="F685" s="55" t="e">
        <f>VLOOKUP(Exam_10,AverageScores,b4_completeness,FALSE)</f>
        <v>#DIV/0!</v>
      </c>
      <c r="G685" s="55" t="e">
        <f>VLOOKUP(Exam_10,AverageScores,b4_completeness,FALSE)</f>
        <v>#DIV/0!</v>
      </c>
    </row>
    <row r="686" spans="2:7" ht="13.5" customHeight="1">
      <c r="B686" s="51" t="s">
        <v>66</v>
      </c>
      <c r="C686" s="55">
        <f>VLOOKUP(Exam_10,ScoringAccuracyTable,b4_accuracy,FALSE)</f>
      </c>
      <c r="D686" s="55">
        <f>VLOOKUP(Exam_10,ScoringAccuracyTable,b4_accuracy,FALSE)</f>
      </c>
      <c r="E686" s="55">
        <f>VLOOKUP(Exam_10,ScoringAccuracyTable,b4_accuracy,FALSE)</f>
      </c>
      <c r="F686" s="55">
        <f>VLOOKUP(Exam_10,ScoringAccuracyTable,b4_accuracy,FALSE)</f>
      </c>
      <c r="G686" s="55">
        <f>VLOOKUP(Exam_10,ScoringAccuracyTable,b4_accuracy,FALSE)</f>
      </c>
    </row>
    <row r="687" spans="2:7" ht="13.5" customHeight="1">
      <c r="B687" s="241"/>
      <c r="C687" s="241"/>
      <c r="D687" s="241"/>
      <c r="E687" s="241"/>
      <c r="F687" s="241"/>
      <c r="G687" s="241"/>
    </row>
    <row r="692" spans="2:7" ht="13.5" customHeight="1">
      <c r="B692" s="52" t="s">
        <v>74</v>
      </c>
      <c r="C692" s="242" t="str">
        <f>BeerName5</f>
        <v>Style5</v>
      </c>
      <c r="D692" s="242"/>
      <c r="E692" s="242"/>
      <c r="F692" s="242"/>
      <c r="G692" s="242"/>
    </row>
    <row r="693" spans="2:7" ht="13.5" customHeight="1">
      <c r="B693" s="241"/>
      <c r="C693" s="241"/>
      <c r="D693" s="241"/>
      <c r="E693" s="241"/>
      <c r="F693" s="241"/>
      <c r="G693" s="241"/>
    </row>
    <row r="694" spans="2:7" ht="13.5" customHeight="1">
      <c r="B694" s="50" t="s">
        <v>68</v>
      </c>
      <c r="C694" s="54" t="s">
        <v>58</v>
      </c>
      <c r="D694" s="54" t="s">
        <v>59</v>
      </c>
      <c r="E694" s="54" t="s">
        <v>60</v>
      </c>
      <c r="F694" s="54" t="s">
        <v>61</v>
      </c>
      <c r="G694" s="54" t="s">
        <v>62</v>
      </c>
    </row>
    <row r="695" spans="2:7" ht="13.5" customHeight="1">
      <c r="B695" s="51" t="s">
        <v>63</v>
      </c>
      <c r="C695" s="55" t="e">
        <f>VLOOKUP(Exam_10,AverageScores,b5_perception,FALSE)</f>
        <v>#DIV/0!</v>
      </c>
      <c r="D695" s="55" t="e">
        <f>VLOOKUP(Exam_10,AverageScores,b5_perception,FALSE)</f>
        <v>#DIV/0!</v>
      </c>
      <c r="E695" s="55" t="e">
        <f>VLOOKUP(Exam_10,AverageScores,b5_perception,FALSE)</f>
        <v>#DIV/0!</v>
      </c>
      <c r="F695" s="55" t="e">
        <f>VLOOKUP(Exam_10,AverageScores,b5_perception,FALSE)</f>
        <v>#DIV/0!</v>
      </c>
      <c r="G695" s="55" t="e">
        <f>VLOOKUP(Exam_10,AverageScores,b5_perception,FALSE)</f>
        <v>#DIV/0!</v>
      </c>
    </row>
    <row r="696" spans="2:7" ht="13.5" customHeight="1">
      <c r="B696" s="51" t="s">
        <v>69</v>
      </c>
      <c r="C696" s="55" t="e">
        <f>VLOOKUP(Exam_10,AverageScores,b5_descriptive,FALSE)</f>
        <v>#DIV/0!</v>
      </c>
      <c r="D696" s="55" t="e">
        <f>VLOOKUP(Exam_10,AverageScores,b5_descriptive,FALSE)</f>
        <v>#DIV/0!</v>
      </c>
      <c r="E696" s="55" t="e">
        <f>VLOOKUP(Exam_10,AverageScores,b5_descriptive,FALSE)</f>
        <v>#DIV/0!</v>
      </c>
      <c r="F696" s="55" t="e">
        <f>VLOOKUP(Exam_10,AverageScores,b5_descriptive,FALSE)</f>
        <v>#DIV/0!</v>
      </c>
      <c r="G696" s="55" t="e">
        <f>VLOOKUP(Exam_10,AverageScores,b5_descriptive,FALSE)</f>
        <v>#DIV/0!</v>
      </c>
    </row>
    <row r="697" spans="2:7" ht="13.5" customHeight="1">
      <c r="B697" s="51" t="s">
        <v>64</v>
      </c>
      <c r="C697" s="55" t="e">
        <f>VLOOKUP(Exam_10,AverageScores,b5_feedback,FALSE)</f>
        <v>#DIV/0!</v>
      </c>
      <c r="D697" s="55" t="e">
        <f>VLOOKUP(Exam_10,AverageScores,b5_feedback,FALSE)</f>
        <v>#DIV/0!</v>
      </c>
      <c r="E697" s="55" t="e">
        <f>VLOOKUP(Exam_10,AverageScores,b5_feedback,FALSE)</f>
        <v>#DIV/0!</v>
      </c>
      <c r="F697" s="55" t="e">
        <f>VLOOKUP(Exam_10,AverageScores,b5_feedback,FALSE)</f>
        <v>#DIV/0!</v>
      </c>
      <c r="G697" s="55" t="e">
        <f>VLOOKUP(Exam_10,AverageScores,b5_feedback,FALSE)</f>
        <v>#DIV/0!</v>
      </c>
    </row>
    <row r="698" spans="2:7" ht="13.5" customHeight="1">
      <c r="B698" s="51" t="s">
        <v>65</v>
      </c>
      <c r="C698" s="55" t="e">
        <f>VLOOKUP(Exam_10,AverageScores,b5_completeness,FALSE)</f>
        <v>#DIV/0!</v>
      </c>
      <c r="D698" s="55" t="e">
        <f>VLOOKUP(Exam_10,AverageScores,b5_completeness,FALSE)</f>
        <v>#DIV/0!</v>
      </c>
      <c r="E698" s="55" t="e">
        <f>VLOOKUP(Exam_10,AverageScores,b5_completeness,FALSE)</f>
        <v>#DIV/0!</v>
      </c>
      <c r="F698" s="55" t="e">
        <f>VLOOKUP(Exam_10,AverageScores,b5_completeness,FALSE)</f>
        <v>#DIV/0!</v>
      </c>
      <c r="G698" s="55" t="e">
        <f>VLOOKUP(Exam_10,AverageScores,b5_completeness,FALSE)</f>
        <v>#DIV/0!</v>
      </c>
    </row>
    <row r="699" spans="2:7" ht="13.5" customHeight="1">
      <c r="B699" s="51" t="s">
        <v>66</v>
      </c>
      <c r="C699" s="55">
        <f>VLOOKUP(Exam_10,ScoringAccuracyTable,b5_accuracy,FALSE)</f>
      </c>
      <c r="D699" s="55">
        <f>VLOOKUP(Exam_10,ScoringAccuracyTable,b5_accuracy,FALSE)</f>
      </c>
      <c r="E699" s="55">
        <f>VLOOKUP(Exam_10,ScoringAccuracyTable,b5_accuracy,FALSE)</f>
      </c>
      <c r="F699" s="55">
        <f>VLOOKUP(Exam_10,ScoringAccuracyTable,b5_accuracy,FALSE)</f>
      </c>
      <c r="G699" s="55">
        <f>VLOOKUP(Exam_10,ScoringAccuracyTable,b5_accuracy,FALSE)</f>
      </c>
    </row>
    <row r="700" spans="2:7" ht="13.5" customHeight="1">
      <c r="B700" s="241"/>
      <c r="C700" s="241"/>
      <c r="D700" s="241"/>
      <c r="E700" s="241"/>
      <c r="F700" s="241"/>
      <c r="G700" s="241"/>
    </row>
    <row r="701" spans="2:7" ht="13.5" customHeight="1">
      <c r="B701" s="52" t="s">
        <v>73</v>
      </c>
      <c r="C701" s="242" t="str">
        <f>BeerName6</f>
        <v>Style6</v>
      </c>
      <c r="D701" s="242"/>
      <c r="E701" s="242"/>
      <c r="F701" s="242"/>
      <c r="G701" s="242"/>
    </row>
    <row r="702" spans="2:7" ht="13.5" customHeight="1">
      <c r="B702" s="241"/>
      <c r="C702" s="241"/>
      <c r="D702" s="241"/>
      <c r="E702" s="241"/>
      <c r="F702" s="241"/>
      <c r="G702" s="241"/>
    </row>
    <row r="703" spans="2:7" ht="13.5" customHeight="1">
      <c r="B703" s="50" t="s">
        <v>68</v>
      </c>
      <c r="C703" s="54" t="s">
        <v>58</v>
      </c>
      <c r="D703" s="54" t="s">
        <v>59</v>
      </c>
      <c r="E703" s="54" t="s">
        <v>60</v>
      </c>
      <c r="F703" s="54" t="s">
        <v>61</v>
      </c>
      <c r="G703" s="54" t="s">
        <v>62</v>
      </c>
    </row>
    <row r="704" spans="2:7" ht="13.5" customHeight="1">
      <c r="B704" s="51" t="s">
        <v>63</v>
      </c>
      <c r="C704" s="55" t="e">
        <f>VLOOKUP(Exam_10,AverageScores,b6_perception,FALSE)</f>
        <v>#DIV/0!</v>
      </c>
      <c r="D704" s="55" t="e">
        <f>VLOOKUP(Exam_10,AverageScores,b6_perception,FALSE)</f>
        <v>#DIV/0!</v>
      </c>
      <c r="E704" s="55" t="e">
        <f>VLOOKUP(Exam_10,AverageScores,b6_perception,FALSE)</f>
        <v>#DIV/0!</v>
      </c>
      <c r="F704" s="55" t="e">
        <f>VLOOKUP(Exam_10,AverageScores,b6_perception,FALSE)</f>
        <v>#DIV/0!</v>
      </c>
      <c r="G704" s="55" t="e">
        <f>VLOOKUP(Exam_10,AverageScores,b6_perception,FALSE)</f>
        <v>#DIV/0!</v>
      </c>
    </row>
    <row r="705" spans="2:7" ht="13.5" customHeight="1">
      <c r="B705" s="51" t="s">
        <v>69</v>
      </c>
      <c r="C705" s="55" t="e">
        <f>VLOOKUP(Exam_10,AverageScores,b6_descriptive,FALSE)</f>
        <v>#DIV/0!</v>
      </c>
      <c r="D705" s="55" t="e">
        <f>VLOOKUP(Exam_10,AverageScores,b6_descriptive,FALSE)</f>
        <v>#DIV/0!</v>
      </c>
      <c r="E705" s="55" t="e">
        <f>VLOOKUP(Exam_10,AverageScores,b6_descriptive,FALSE)</f>
        <v>#DIV/0!</v>
      </c>
      <c r="F705" s="55" t="e">
        <f>VLOOKUP(Exam_10,AverageScores,b6_descriptive,FALSE)</f>
        <v>#DIV/0!</v>
      </c>
      <c r="G705" s="55" t="e">
        <f>VLOOKUP(Exam_10,AverageScores,b6_descriptive,FALSE)</f>
        <v>#DIV/0!</v>
      </c>
    </row>
    <row r="706" spans="2:7" ht="13.5" customHeight="1">
      <c r="B706" s="51" t="s">
        <v>64</v>
      </c>
      <c r="C706" s="55" t="e">
        <f>VLOOKUP(Exam_10,AverageScores,b6_feedback,FALSE)</f>
        <v>#DIV/0!</v>
      </c>
      <c r="D706" s="55" t="e">
        <f>VLOOKUP(Exam_10,AverageScores,b6_feedback,FALSE)</f>
        <v>#DIV/0!</v>
      </c>
      <c r="E706" s="55" t="e">
        <f>VLOOKUP(Exam_10,AverageScores,b6_feedback,FALSE)</f>
        <v>#DIV/0!</v>
      </c>
      <c r="F706" s="55" t="e">
        <f>VLOOKUP(Exam_10,AverageScores,b6_feedback,FALSE)</f>
        <v>#DIV/0!</v>
      </c>
      <c r="G706" s="55" t="e">
        <f>VLOOKUP(Exam_10,AverageScores,b6_feedback,FALSE)</f>
        <v>#DIV/0!</v>
      </c>
    </row>
    <row r="707" spans="2:7" ht="13.5" customHeight="1">
      <c r="B707" s="51" t="s">
        <v>65</v>
      </c>
      <c r="C707" s="55" t="e">
        <f>VLOOKUP(Exam_10,AverageScores,b6_completeness,FALSE)</f>
        <v>#DIV/0!</v>
      </c>
      <c r="D707" s="55" t="e">
        <f>VLOOKUP(Exam_10,AverageScores,b6_completeness,FALSE)</f>
        <v>#DIV/0!</v>
      </c>
      <c r="E707" s="55" t="e">
        <f>VLOOKUP(Exam_10,AverageScores,b6_completeness,FALSE)</f>
        <v>#DIV/0!</v>
      </c>
      <c r="F707" s="55" t="e">
        <f>VLOOKUP(Exam_10,AverageScores,b6_completeness,FALSE)</f>
        <v>#DIV/0!</v>
      </c>
      <c r="G707" s="55" t="e">
        <f>VLOOKUP(Exam_10,AverageScores,b6_completeness,FALSE)</f>
        <v>#DIV/0!</v>
      </c>
    </row>
    <row r="708" spans="2:7" ht="13.5" customHeight="1">
      <c r="B708" s="51" t="s">
        <v>66</v>
      </c>
      <c r="C708" s="55">
        <f>VLOOKUP(Exam_10,ScoringAccuracyTable,b6_accuracy,FALSE)</f>
      </c>
      <c r="D708" s="55">
        <f>VLOOKUP(Exam_10,ScoringAccuracyTable,b6_accuracy,FALSE)</f>
      </c>
      <c r="E708" s="55">
        <f>VLOOKUP(Exam_10,ScoringAccuracyTable,b6_accuracy,FALSE)</f>
      </c>
      <c r="F708" s="55">
        <f>VLOOKUP(Exam_10,ScoringAccuracyTable,b6_accuracy,FALSE)</f>
      </c>
      <c r="G708" s="55">
        <f>VLOOKUP(Exam_10,ScoringAccuracyTable,b6_accuracy,FALSE)</f>
      </c>
    </row>
    <row r="711" spans="1:7" ht="13.5" customHeight="1">
      <c r="A711" s="131" t="s">
        <v>18</v>
      </c>
      <c r="B711" s="243" t="s">
        <v>70</v>
      </c>
      <c r="C711" s="243"/>
      <c r="D711" s="243"/>
      <c r="E711" s="243"/>
      <c r="F711" s="243"/>
      <c r="G711" s="243"/>
    </row>
    <row r="712" spans="1:7" ht="13.5" customHeight="1">
      <c r="A712" s="132">
        <f>Exam_11</f>
        <v>11</v>
      </c>
      <c r="B712" s="244"/>
      <c r="C712" s="244"/>
      <c r="D712" s="244"/>
      <c r="E712" s="244"/>
      <c r="F712" s="244"/>
      <c r="G712" s="244"/>
    </row>
    <row r="713" spans="2:7" ht="13.5" customHeight="1">
      <c r="B713" s="50" t="s">
        <v>68</v>
      </c>
      <c r="C713" s="54" t="s">
        <v>58</v>
      </c>
      <c r="D713" s="54" t="s">
        <v>59</v>
      </c>
      <c r="E713" s="54" t="s">
        <v>60</v>
      </c>
      <c r="F713" s="54" t="s">
        <v>61</v>
      </c>
      <c r="G713" s="54" t="s">
        <v>62</v>
      </c>
    </row>
    <row r="714" spans="2:7" ht="13.5" customHeight="1">
      <c r="B714" s="51" t="s">
        <v>63</v>
      </c>
      <c r="C714" s="55" t="e">
        <f>0.2*AVERAGE(VLOOKUP(Exam_11,Sum_Accuracy,9,FALSE),VLOOKUP(Exam_11,Sum_Accuracy,10,FALSE))</f>
        <v>#VALUE!</v>
      </c>
      <c r="D714" s="55" t="e">
        <f>0.2*AVERAGE(VLOOKUP(Exam_11,Sum_Accuracy,9,FALSE),VLOOKUP(Exam_11,Sum_Accuracy,10,FALSE))</f>
        <v>#VALUE!</v>
      </c>
      <c r="E714" s="55" t="e">
        <f>0.2*AVERAGE(VLOOKUP(Exam_11,Sum_Accuracy,9,FALSE),VLOOKUP(Exam_11,Sum_Accuracy,10,FALSE))</f>
        <v>#VALUE!</v>
      </c>
      <c r="F714" s="55" t="e">
        <f>0.2*AVERAGE(VLOOKUP(Exam_11,Sum_Accuracy,9,FALSE),VLOOKUP(Exam_11,Sum_Accuracy,10,FALSE))</f>
        <v>#VALUE!</v>
      </c>
      <c r="G714" s="55" t="e">
        <f>0.2*AVERAGE(VLOOKUP(Exam_11,Sum_Accuracy,9,FALSE),VLOOKUP(Exam_11,Sum_Accuracy,10,FALSE))</f>
        <v>#VALUE!</v>
      </c>
    </row>
    <row r="715" spans="2:7" ht="13.5" customHeight="1">
      <c r="B715" s="51" t="s">
        <v>69</v>
      </c>
      <c r="C715" s="55" t="e">
        <f>0.2*AVERAGE(VLOOKUP(Exam_11,Sum_Accuracy,11,FALSE),VLOOKUP(Exam_11,Sum_Accuracy,12,FALSE))</f>
        <v>#VALUE!</v>
      </c>
      <c r="D715" s="55" t="e">
        <f>0.2*AVERAGE(VLOOKUP(Exam_11,Sum_Accuracy,11,FALSE),VLOOKUP(Exam_11,Sum_Accuracy,12,FALSE))</f>
        <v>#VALUE!</v>
      </c>
      <c r="E715" s="55" t="e">
        <f>0.2*AVERAGE(VLOOKUP(Exam_11,Sum_Accuracy,11,FALSE),VLOOKUP(Exam_11,Sum_Accuracy,12,FALSE))</f>
        <v>#VALUE!</v>
      </c>
      <c r="F715" s="55" t="e">
        <f>0.2*AVERAGE(VLOOKUP(Exam_11,Sum_Accuracy,11,FALSE),VLOOKUP(Exam_11,Sum_Accuracy,12,FALSE))</f>
        <v>#VALUE!</v>
      </c>
      <c r="G715" s="55" t="e">
        <f>0.2*AVERAGE(VLOOKUP(Exam_11,Sum_Accuracy,11,FALSE),VLOOKUP(Exam_11,Sum_Accuracy,12,FALSE))</f>
        <v>#VALUE!</v>
      </c>
    </row>
    <row r="716" spans="2:7" ht="13.5" customHeight="1">
      <c r="B716" s="51" t="s">
        <v>64</v>
      </c>
      <c r="C716" s="55" t="e">
        <f>0.2*AVERAGE(VLOOKUP(Exam_11,Sum_Accuracy,13,FALSE),VLOOKUP(Exam_11,Sum_Accuracy,14,FALSE))</f>
        <v>#VALUE!</v>
      </c>
      <c r="D716" s="55" t="e">
        <f>0.2*AVERAGE(VLOOKUP(Exam_11,Sum_Accuracy,13,FALSE),VLOOKUP(Exam_11,Sum_Accuracy,14,FALSE))</f>
        <v>#VALUE!</v>
      </c>
      <c r="E716" s="55" t="e">
        <f>0.2*AVERAGE(VLOOKUP(Exam_11,Sum_Accuracy,13,FALSE),VLOOKUP(Exam_11,Sum_Accuracy,14,FALSE))</f>
        <v>#VALUE!</v>
      </c>
      <c r="F716" s="55" t="e">
        <f>0.2*AVERAGE(VLOOKUP(Exam_11,Sum_Accuracy,13,FALSE),VLOOKUP(Exam_11,Sum_Accuracy,14,FALSE))</f>
        <v>#VALUE!</v>
      </c>
      <c r="G716" s="55" t="e">
        <f>0.2*AVERAGE(VLOOKUP(Exam_11,Sum_Accuracy,13,FALSE),VLOOKUP(Exam_11,Sum_Accuracy,14,FALSE))</f>
        <v>#VALUE!</v>
      </c>
    </row>
    <row r="717" spans="2:7" ht="13.5" customHeight="1">
      <c r="B717" s="51" t="s">
        <v>65</v>
      </c>
      <c r="C717" s="55" t="e">
        <f>0.2*AVERAGE(VLOOKUP(Exam_11,Sum_Accuracy,15,FALSE),VLOOKUP(Exam_11,Sum_Accuracy,16,FALSE))</f>
        <v>#VALUE!</v>
      </c>
      <c r="D717" s="55" t="e">
        <f>0.2*AVERAGE(VLOOKUP(Exam_11,Sum_Accuracy,15,FALSE),VLOOKUP(Exam_11,Sum_Accuracy,16,FALSE))</f>
        <v>#VALUE!</v>
      </c>
      <c r="E717" s="55" t="e">
        <f>0.2*AVERAGE(VLOOKUP(Exam_11,Sum_Accuracy,15,FALSE),VLOOKUP(Exam_11,Sum_Accuracy,16,FALSE))</f>
        <v>#VALUE!</v>
      </c>
      <c r="F717" s="55" t="e">
        <f>0.2*AVERAGE(VLOOKUP(Exam_11,Sum_Accuracy,15,FALSE),VLOOKUP(Exam_11,Sum_Accuracy,16,FALSE))</f>
        <v>#VALUE!</v>
      </c>
      <c r="G717" s="55" t="e">
        <f>0.2*AVERAGE(VLOOKUP(Exam_11,Sum_Accuracy,15,FALSE),VLOOKUP(Exam_11,Sum_Accuracy,16,FALSE))</f>
        <v>#VALUE!</v>
      </c>
    </row>
    <row r="718" spans="2:7" ht="13.5" customHeight="1">
      <c r="B718" s="51" t="s">
        <v>66</v>
      </c>
      <c r="C718" s="55" t="e">
        <f>VLOOKUP(Exam_11,Sum_Accuracy,8,FALSE)/5</f>
        <v>#VALUE!</v>
      </c>
      <c r="D718" s="55" t="e">
        <f>VLOOKUP(Exam_11,Sum_Accuracy,8,FALSE)/5</f>
        <v>#VALUE!</v>
      </c>
      <c r="E718" s="55" t="e">
        <f>VLOOKUP(Exam_11,Sum_Accuracy,8,FALSE)/5</f>
        <v>#VALUE!</v>
      </c>
      <c r="F718" s="55" t="e">
        <f>VLOOKUP(Exam_11,Sum_Accuracy,8,FALSE)/5</f>
        <v>#VALUE!</v>
      </c>
      <c r="G718" s="55" t="e">
        <f>VLOOKUP(Exam_11,Sum_Accuracy,8,FALSE)/5</f>
        <v>#VALUE!</v>
      </c>
    </row>
    <row r="719" spans="2:7" ht="13.5" customHeight="1">
      <c r="B719" s="241"/>
      <c r="C719" s="241"/>
      <c r="D719" s="241"/>
      <c r="E719" s="241"/>
      <c r="F719" s="241"/>
      <c r="G719" s="241"/>
    </row>
    <row r="721" spans="2:7" ht="13.5" customHeight="1">
      <c r="B721" s="245" t="s">
        <v>67</v>
      </c>
      <c r="C721" s="245"/>
      <c r="D721" s="245"/>
      <c r="E721" s="245"/>
      <c r="F721" s="245"/>
      <c r="G721" s="245"/>
    </row>
    <row r="722" spans="2:7" ht="13.5" customHeight="1">
      <c r="B722" s="246"/>
      <c r="C722" s="246"/>
      <c r="D722" s="246"/>
      <c r="E722" s="246"/>
      <c r="F722" s="246"/>
      <c r="G722" s="246"/>
    </row>
    <row r="723" spans="2:7" ht="13.5" customHeight="1">
      <c r="B723" s="52" t="s">
        <v>71</v>
      </c>
      <c r="C723" s="242" t="str">
        <f>BeerName1</f>
        <v>Style1</v>
      </c>
      <c r="D723" s="242"/>
      <c r="E723" s="242"/>
      <c r="F723" s="242"/>
      <c r="G723" s="242"/>
    </row>
    <row r="724" spans="2:7" ht="13.5" customHeight="1">
      <c r="B724" s="241"/>
      <c r="C724" s="241"/>
      <c r="D724" s="241"/>
      <c r="E724" s="241"/>
      <c r="F724" s="241"/>
      <c r="G724" s="241"/>
    </row>
    <row r="725" spans="2:7" ht="13.5" customHeight="1">
      <c r="B725" s="50" t="s">
        <v>68</v>
      </c>
      <c r="C725" s="54" t="s">
        <v>58</v>
      </c>
      <c r="D725" s="54" t="s">
        <v>59</v>
      </c>
      <c r="E725" s="54" t="s">
        <v>60</v>
      </c>
      <c r="F725" s="54" t="s">
        <v>61</v>
      </c>
      <c r="G725" s="54" t="s">
        <v>62</v>
      </c>
    </row>
    <row r="726" spans="2:7" ht="13.5" customHeight="1">
      <c r="B726" s="51" t="s">
        <v>63</v>
      </c>
      <c r="C726" s="55" t="e">
        <f>VLOOKUP(Exam_11,AverageScores,b1_perception,FALSE)</f>
        <v>#DIV/0!</v>
      </c>
      <c r="D726" s="55" t="e">
        <f>VLOOKUP(Exam_11,AverageScores,b1_perception,FALSE)</f>
        <v>#DIV/0!</v>
      </c>
      <c r="E726" s="55" t="e">
        <f>VLOOKUP(Exam_11,AverageScores,b1_perception,FALSE)</f>
        <v>#DIV/0!</v>
      </c>
      <c r="F726" s="55" t="e">
        <f>VLOOKUP(Exam_11,AverageScores,b1_perception,FALSE)</f>
        <v>#DIV/0!</v>
      </c>
      <c r="G726" s="55" t="e">
        <f>VLOOKUP(Exam_11,AverageScores,b1_perception,FALSE)</f>
        <v>#DIV/0!</v>
      </c>
    </row>
    <row r="727" spans="2:7" ht="13.5" customHeight="1">
      <c r="B727" s="51" t="s">
        <v>69</v>
      </c>
      <c r="C727" s="55" t="e">
        <f>VLOOKUP(Exam_11,AverageScores,b1_descriptive,FALSE)</f>
        <v>#DIV/0!</v>
      </c>
      <c r="D727" s="55" t="e">
        <f>VLOOKUP(Exam_11,AverageScores,b1_descriptive,FALSE)</f>
        <v>#DIV/0!</v>
      </c>
      <c r="E727" s="55" t="e">
        <f>VLOOKUP(Exam_11,AverageScores,b1_descriptive,FALSE)</f>
        <v>#DIV/0!</v>
      </c>
      <c r="F727" s="55" t="e">
        <f>VLOOKUP(Exam_11,AverageScores,b1_descriptive,FALSE)</f>
        <v>#DIV/0!</v>
      </c>
      <c r="G727" s="55" t="e">
        <f>VLOOKUP(Exam_11,AverageScores,b1_descriptive,FALSE)</f>
        <v>#DIV/0!</v>
      </c>
    </row>
    <row r="728" spans="2:7" ht="13.5" customHeight="1">
      <c r="B728" s="51" t="s">
        <v>64</v>
      </c>
      <c r="C728" s="55" t="e">
        <f>VLOOKUP(Exam_11,AverageScores,b1_feedback,FALSE)</f>
        <v>#DIV/0!</v>
      </c>
      <c r="D728" s="55" t="e">
        <f>VLOOKUP(Exam_11,AverageScores,b1_feedback,FALSE)</f>
        <v>#DIV/0!</v>
      </c>
      <c r="E728" s="55" t="e">
        <f>VLOOKUP(Exam_11,AverageScores,b1_feedback,FALSE)</f>
        <v>#DIV/0!</v>
      </c>
      <c r="F728" s="55" t="e">
        <f>VLOOKUP(Exam_11,AverageScores,b1_feedback,FALSE)</f>
        <v>#DIV/0!</v>
      </c>
      <c r="G728" s="55" t="e">
        <f>VLOOKUP(Exam_11,AverageScores,b1_feedback,FALSE)</f>
        <v>#DIV/0!</v>
      </c>
    </row>
    <row r="729" spans="2:7" ht="13.5" customHeight="1">
      <c r="B729" s="51" t="s">
        <v>65</v>
      </c>
      <c r="C729" s="55" t="e">
        <f>VLOOKUP(Exam_11,AverageScores,b1_completeness,FALSE)</f>
        <v>#DIV/0!</v>
      </c>
      <c r="D729" s="55" t="e">
        <f>VLOOKUP(Exam_11,AverageScores,b1_completeness,FALSE)</f>
        <v>#DIV/0!</v>
      </c>
      <c r="E729" s="55" t="e">
        <f>VLOOKUP(Exam_11,AverageScores,b1_completeness,FALSE)</f>
        <v>#DIV/0!</v>
      </c>
      <c r="F729" s="55" t="e">
        <f>VLOOKUP(Exam_11,AverageScores,b1_completeness,FALSE)</f>
        <v>#DIV/0!</v>
      </c>
      <c r="G729" s="55" t="e">
        <f>VLOOKUP(Exam_11,AverageScores,b1_completeness,FALSE)</f>
        <v>#DIV/0!</v>
      </c>
    </row>
    <row r="730" spans="2:7" ht="13.5" customHeight="1">
      <c r="B730" s="51" t="s">
        <v>66</v>
      </c>
      <c r="C730" s="55">
        <f>VLOOKUP(Exam_11,ScoringAccuracyTable,b1_accuracy,FALSE)</f>
      </c>
      <c r="D730" s="55">
        <f>VLOOKUP(Exam_11,ScoringAccuracyTable,b1_accuracy,FALSE)</f>
      </c>
      <c r="E730" s="55">
        <f>VLOOKUP(Exam_11,ScoringAccuracyTable,b1_accuracy,FALSE)</f>
      </c>
      <c r="F730" s="55">
        <f>VLOOKUP(Exam_11,ScoringAccuracyTable,b1_accuracy,FALSE)</f>
      </c>
      <c r="G730" s="55">
        <f>VLOOKUP(Exam_11,ScoringAccuracyTable,b1_accuracy,FALSE)</f>
      </c>
    </row>
    <row r="731" spans="2:7" ht="13.5" customHeight="1">
      <c r="B731" s="241"/>
      <c r="C731" s="241"/>
      <c r="D731" s="241"/>
      <c r="E731" s="241"/>
      <c r="F731" s="241"/>
      <c r="G731" s="241"/>
    </row>
    <row r="732" spans="2:7" ht="13.5" customHeight="1">
      <c r="B732" s="52" t="s">
        <v>72</v>
      </c>
      <c r="C732" s="242" t="str">
        <f>BeerName2</f>
        <v>Style2</v>
      </c>
      <c r="D732" s="242"/>
      <c r="E732" s="242"/>
      <c r="F732" s="242"/>
      <c r="G732" s="242"/>
    </row>
    <row r="733" spans="2:7" ht="13.5" customHeight="1">
      <c r="B733" s="247"/>
      <c r="C733" s="247"/>
      <c r="D733" s="247"/>
      <c r="E733" s="247"/>
      <c r="F733" s="247"/>
      <c r="G733" s="247"/>
    </row>
    <row r="734" spans="2:7" ht="13.5" customHeight="1">
      <c r="B734" s="50" t="s">
        <v>68</v>
      </c>
      <c r="C734" s="56" t="s">
        <v>58</v>
      </c>
      <c r="D734" s="56" t="s">
        <v>59</v>
      </c>
      <c r="E734" s="56" t="s">
        <v>60</v>
      </c>
      <c r="F734" s="56" t="s">
        <v>61</v>
      </c>
      <c r="G734" s="56" t="s">
        <v>62</v>
      </c>
    </row>
    <row r="735" spans="2:7" ht="13.5" customHeight="1">
      <c r="B735" s="51" t="s">
        <v>63</v>
      </c>
      <c r="C735" s="55" t="e">
        <f>VLOOKUP(Exam_11,AverageScores,b2_perceptive,FALSE)</f>
        <v>#DIV/0!</v>
      </c>
      <c r="D735" s="55" t="e">
        <f>VLOOKUP(Exam_11,AverageScores,b2_perceptive,FALSE)</f>
        <v>#DIV/0!</v>
      </c>
      <c r="E735" s="55" t="e">
        <f>VLOOKUP(Exam_11,AverageScores,b2_perceptive,FALSE)</f>
        <v>#DIV/0!</v>
      </c>
      <c r="F735" s="55" t="e">
        <f>VLOOKUP(Exam_11,AverageScores,b2_perceptive,FALSE)</f>
        <v>#DIV/0!</v>
      </c>
      <c r="G735" s="55" t="e">
        <f>VLOOKUP(Exam_11,AverageScores,b2_perceptive,FALSE)</f>
        <v>#DIV/0!</v>
      </c>
    </row>
    <row r="736" spans="2:7" ht="13.5" customHeight="1">
      <c r="B736" s="51" t="s">
        <v>69</v>
      </c>
      <c r="C736" s="55" t="e">
        <f>VLOOKUP(Exam_11,AverageScores,b2_descriptive,FALSE)</f>
        <v>#DIV/0!</v>
      </c>
      <c r="D736" s="55" t="e">
        <f>VLOOKUP(Exam_11,AverageScores,b2_descriptive,FALSE)</f>
        <v>#DIV/0!</v>
      </c>
      <c r="E736" s="55" t="e">
        <f>VLOOKUP(Exam_11,AverageScores,b2_descriptive,FALSE)</f>
        <v>#DIV/0!</v>
      </c>
      <c r="F736" s="55" t="e">
        <f>VLOOKUP(Exam_11,AverageScores,b2_descriptive,FALSE)</f>
        <v>#DIV/0!</v>
      </c>
      <c r="G736" s="55" t="e">
        <f>VLOOKUP(Exam_11,AverageScores,b2_descriptive,FALSE)</f>
        <v>#DIV/0!</v>
      </c>
    </row>
    <row r="737" spans="2:7" ht="13.5" customHeight="1">
      <c r="B737" s="51" t="s">
        <v>64</v>
      </c>
      <c r="C737" s="55" t="e">
        <f>VLOOKUP(Exam_11,AverageScores,b2_feedback,FALSE)</f>
        <v>#DIV/0!</v>
      </c>
      <c r="D737" s="55" t="e">
        <f>VLOOKUP(Exam_11,AverageScores,b2_feedback,FALSE)</f>
        <v>#DIV/0!</v>
      </c>
      <c r="E737" s="55" t="e">
        <f>VLOOKUP(Exam_11,AverageScores,b2_feedback,FALSE)</f>
        <v>#DIV/0!</v>
      </c>
      <c r="F737" s="55" t="e">
        <f>VLOOKUP(Exam_11,AverageScores,b2_feedback,FALSE)</f>
        <v>#DIV/0!</v>
      </c>
      <c r="G737" s="55" t="e">
        <f>VLOOKUP(Exam_11,AverageScores,b2_feedback,FALSE)</f>
        <v>#DIV/0!</v>
      </c>
    </row>
    <row r="738" spans="2:7" ht="13.5" customHeight="1">
      <c r="B738" s="51" t="s">
        <v>65</v>
      </c>
      <c r="C738" s="55" t="e">
        <f>VLOOKUP(Exam_11,AverageScores,b2_completeness,FALSE)</f>
        <v>#DIV/0!</v>
      </c>
      <c r="D738" s="55" t="e">
        <f>VLOOKUP(Exam_11,AverageScores,b2_completeness,FALSE)</f>
        <v>#DIV/0!</v>
      </c>
      <c r="E738" s="55" t="e">
        <f>VLOOKUP(Exam_11,AverageScores,b2_completeness,FALSE)</f>
        <v>#DIV/0!</v>
      </c>
      <c r="F738" s="55" t="e">
        <f>VLOOKUP(Exam_11,AverageScores,b2_completeness,FALSE)</f>
        <v>#DIV/0!</v>
      </c>
      <c r="G738" s="55" t="e">
        <f>VLOOKUP(Exam_11,AverageScores,b2_completeness,FALSE)</f>
        <v>#DIV/0!</v>
      </c>
    </row>
    <row r="739" spans="2:7" ht="13.5" customHeight="1">
      <c r="B739" s="51" t="s">
        <v>66</v>
      </c>
      <c r="C739" s="55">
        <f>VLOOKUP(Exam_11,ScoringAccuracyTable,b2_accuracy,FALSE)</f>
      </c>
      <c r="D739" s="55">
        <f>VLOOKUP(Exam_11,ScoringAccuracyTable,b2_accuracy,FALSE)</f>
      </c>
      <c r="E739" s="55">
        <f>VLOOKUP(Exam_11,ScoringAccuracyTable,b2_accuracy,FALSE)</f>
      </c>
      <c r="F739" s="55">
        <f>VLOOKUP(Exam_11,ScoringAccuracyTable,b2_accuracy,FALSE)</f>
      </c>
      <c r="G739" s="55">
        <f>VLOOKUP(Exam_11,ScoringAccuracyTable,b2_accuracy,FALSE)</f>
      </c>
    </row>
    <row r="740" spans="2:7" ht="13.5" customHeight="1">
      <c r="B740" s="241"/>
      <c r="C740" s="241"/>
      <c r="D740" s="241"/>
      <c r="E740" s="241"/>
      <c r="F740" s="241"/>
      <c r="G740" s="241"/>
    </row>
    <row r="741" spans="2:7" ht="13.5" customHeight="1">
      <c r="B741" s="52" t="s">
        <v>76</v>
      </c>
      <c r="C741" s="242" t="str">
        <f>BeerName3</f>
        <v>Style3</v>
      </c>
      <c r="D741" s="242"/>
      <c r="E741" s="242"/>
      <c r="F741" s="242"/>
      <c r="G741" s="242"/>
    </row>
    <row r="742" spans="2:7" ht="13.5" customHeight="1">
      <c r="B742" s="247"/>
      <c r="C742" s="247"/>
      <c r="D742" s="247"/>
      <c r="E742" s="247"/>
      <c r="F742" s="247"/>
      <c r="G742" s="247"/>
    </row>
    <row r="743" spans="2:7" ht="13.5" customHeight="1">
      <c r="B743" s="50" t="s">
        <v>68</v>
      </c>
      <c r="C743" s="54" t="s">
        <v>58</v>
      </c>
      <c r="D743" s="54" t="s">
        <v>59</v>
      </c>
      <c r="E743" s="54" t="s">
        <v>60</v>
      </c>
      <c r="F743" s="54" t="s">
        <v>61</v>
      </c>
      <c r="G743" s="54" t="s">
        <v>62</v>
      </c>
    </row>
    <row r="744" spans="2:7" ht="13.5" customHeight="1">
      <c r="B744" s="51" t="s">
        <v>63</v>
      </c>
      <c r="C744" s="55" t="e">
        <f>VLOOKUP(Exam_11,AverageScores,b3_perception,FALSE)</f>
        <v>#DIV/0!</v>
      </c>
      <c r="D744" s="55" t="e">
        <f>VLOOKUP(Exam_11,AverageScores,b3_perception,FALSE)</f>
        <v>#DIV/0!</v>
      </c>
      <c r="E744" s="55" t="e">
        <f>VLOOKUP(Exam_11,AverageScores,b3_perception,FALSE)</f>
        <v>#DIV/0!</v>
      </c>
      <c r="F744" s="55" t="e">
        <f>VLOOKUP(Exam_11,AverageScores,b3_perception,FALSE)</f>
        <v>#DIV/0!</v>
      </c>
      <c r="G744" s="55" t="e">
        <f>VLOOKUP(Exam_11,AverageScores,b3_perception,FALSE)</f>
        <v>#DIV/0!</v>
      </c>
    </row>
    <row r="745" spans="2:7" ht="13.5" customHeight="1">
      <c r="B745" s="51" t="s">
        <v>69</v>
      </c>
      <c r="C745" s="55" t="e">
        <f>VLOOKUP(Exam_11,AverageScores,b3_descriptive,FALSE)</f>
        <v>#DIV/0!</v>
      </c>
      <c r="D745" s="55" t="e">
        <f>VLOOKUP(Exam_11,AverageScores,b3_descriptive,FALSE)</f>
        <v>#DIV/0!</v>
      </c>
      <c r="E745" s="55" t="e">
        <f>VLOOKUP(Exam_11,AverageScores,b3_descriptive,FALSE)</f>
        <v>#DIV/0!</v>
      </c>
      <c r="F745" s="55" t="e">
        <f>VLOOKUP(Exam_11,AverageScores,b3_descriptive,FALSE)</f>
        <v>#DIV/0!</v>
      </c>
      <c r="G745" s="55" t="e">
        <f>VLOOKUP(Exam_11,AverageScores,b3_descriptive,FALSE)</f>
        <v>#DIV/0!</v>
      </c>
    </row>
    <row r="746" spans="2:7" ht="13.5" customHeight="1">
      <c r="B746" s="51" t="s">
        <v>64</v>
      </c>
      <c r="C746" s="55" t="e">
        <f>VLOOKUP(Exam_11,AverageScores,b3_feedback,FALSE)</f>
        <v>#DIV/0!</v>
      </c>
      <c r="D746" s="55" t="e">
        <f>VLOOKUP(Exam_11,AverageScores,b3_feedback,FALSE)</f>
        <v>#DIV/0!</v>
      </c>
      <c r="E746" s="55" t="e">
        <f>VLOOKUP(Exam_11,AverageScores,b3_feedback,FALSE)</f>
        <v>#DIV/0!</v>
      </c>
      <c r="F746" s="55" t="e">
        <f>VLOOKUP(Exam_11,AverageScores,b3_feedback,FALSE)</f>
        <v>#DIV/0!</v>
      </c>
      <c r="G746" s="55" t="e">
        <f>VLOOKUP(Exam_11,AverageScores,b3_feedback,FALSE)</f>
        <v>#DIV/0!</v>
      </c>
    </row>
    <row r="747" spans="2:7" ht="13.5" customHeight="1">
      <c r="B747" s="51" t="s">
        <v>65</v>
      </c>
      <c r="C747" s="55" t="e">
        <f>VLOOKUP(Exam_11,AverageScores,b3_completeness,FALSE)</f>
        <v>#DIV/0!</v>
      </c>
      <c r="D747" s="55" t="e">
        <f>VLOOKUP(Exam_11,AverageScores,b3_completeness,FALSE)</f>
        <v>#DIV/0!</v>
      </c>
      <c r="E747" s="55" t="e">
        <f>VLOOKUP(Exam_11,AverageScores,b3_completeness,FALSE)</f>
        <v>#DIV/0!</v>
      </c>
      <c r="F747" s="55" t="e">
        <f>VLOOKUP(Exam_11,AverageScores,b3_completeness,FALSE)</f>
        <v>#DIV/0!</v>
      </c>
      <c r="G747" s="55" t="e">
        <f>VLOOKUP(Exam_11,AverageScores,b3_completeness,FALSE)</f>
        <v>#DIV/0!</v>
      </c>
    </row>
    <row r="748" spans="2:7" ht="13.5" customHeight="1">
      <c r="B748" s="51" t="s">
        <v>66</v>
      </c>
      <c r="C748" s="55">
        <f>VLOOKUP(Exam_11,ScoringAccuracyTable,b3_accuracy,FALSE)</f>
      </c>
      <c r="D748" s="55">
        <f>VLOOKUP(Exam_11,ScoringAccuracyTable,b3_accuracy,FALSE)</f>
      </c>
      <c r="E748" s="55">
        <f>VLOOKUP(Exam_11,ScoringAccuracyTable,b3_accuracy,FALSE)</f>
      </c>
      <c r="F748" s="55">
        <f>VLOOKUP(Exam_11,ScoringAccuracyTable,b3_accuracy,FALSE)</f>
      </c>
      <c r="G748" s="55">
        <f>VLOOKUP(Exam_11,ScoringAccuracyTable,b3_accuracy,FALSE)</f>
      </c>
    </row>
    <row r="749" spans="2:7" ht="13.5" customHeight="1">
      <c r="B749" s="241"/>
      <c r="C749" s="241"/>
      <c r="D749" s="241"/>
      <c r="E749" s="241"/>
      <c r="F749" s="241"/>
      <c r="G749" s="241"/>
    </row>
    <row r="750" spans="2:7" ht="13.5" customHeight="1">
      <c r="B750" s="52" t="s">
        <v>75</v>
      </c>
      <c r="C750" s="242" t="str">
        <f>BeerName4</f>
        <v>Style4</v>
      </c>
      <c r="D750" s="242"/>
      <c r="E750" s="242"/>
      <c r="F750" s="242"/>
      <c r="G750" s="242"/>
    </row>
    <row r="751" spans="2:7" ht="13.5" customHeight="1">
      <c r="B751" s="241"/>
      <c r="C751" s="241"/>
      <c r="D751" s="241"/>
      <c r="E751" s="241"/>
      <c r="F751" s="241"/>
      <c r="G751" s="241"/>
    </row>
    <row r="752" spans="2:7" ht="13.5" customHeight="1">
      <c r="B752" s="50" t="s">
        <v>68</v>
      </c>
      <c r="C752" s="54" t="s">
        <v>58</v>
      </c>
      <c r="D752" s="54" t="s">
        <v>59</v>
      </c>
      <c r="E752" s="54" t="s">
        <v>60</v>
      </c>
      <c r="F752" s="54" t="s">
        <v>61</v>
      </c>
      <c r="G752" s="54" t="s">
        <v>62</v>
      </c>
    </row>
    <row r="753" spans="2:7" ht="13.5" customHeight="1">
      <c r="B753" s="51" t="s">
        <v>63</v>
      </c>
      <c r="C753" s="55" t="e">
        <f>VLOOKUP(Exam_11,AverageScores,b4_perception,FALSE)</f>
        <v>#DIV/0!</v>
      </c>
      <c r="D753" s="55" t="e">
        <f>VLOOKUP(Exam_11,AverageScores,b4_perception,FALSE)</f>
        <v>#DIV/0!</v>
      </c>
      <c r="E753" s="55" t="e">
        <f>VLOOKUP(Exam_11,AverageScores,b4_perception,FALSE)</f>
        <v>#DIV/0!</v>
      </c>
      <c r="F753" s="55" t="e">
        <f>VLOOKUP(Exam_11,AverageScores,b4_perception,FALSE)</f>
        <v>#DIV/0!</v>
      </c>
      <c r="G753" s="55" t="e">
        <f>VLOOKUP(Exam_11,AverageScores,b4_perception,FALSE)</f>
        <v>#DIV/0!</v>
      </c>
    </row>
    <row r="754" spans="2:7" ht="13.5" customHeight="1">
      <c r="B754" s="51" t="s">
        <v>69</v>
      </c>
      <c r="C754" s="55" t="e">
        <f>VLOOKUP(Exam_11,AverageScores,b4_descriptive,FALSE)</f>
        <v>#DIV/0!</v>
      </c>
      <c r="D754" s="55" t="e">
        <f>VLOOKUP(Exam_11,AverageScores,b4_descriptive,FALSE)</f>
        <v>#DIV/0!</v>
      </c>
      <c r="E754" s="55" t="e">
        <f>VLOOKUP(Exam_11,AverageScores,b4_descriptive,FALSE)</f>
        <v>#DIV/0!</v>
      </c>
      <c r="F754" s="55" t="e">
        <f>VLOOKUP(Exam_11,AverageScores,b4_descriptive,FALSE)</f>
        <v>#DIV/0!</v>
      </c>
      <c r="G754" s="55" t="e">
        <f>VLOOKUP(Exam_11,AverageScores,b4_descriptive,FALSE)</f>
        <v>#DIV/0!</v>
      </c>
    </row>
    <row r="755" spans="2:7" ht="13.5" customHeight="1">
      <c r="B755" s="51" t="s">
        <v>64</v>
      </c>
      <c r="C755" s="55" t="e">
        <f>VLOOKUP(Exam_11,AverageScores,b4_feedback,FALSE)</f>
        <v>#DIV/0!</v>
      </c>
      <c r="D755" s="55" t="e">
        <f>VLOOKUP(Exam_11,AverageScores,b4_feedback,FALSE)</f>
        <v>#DIV/0!</v>
      </c>
      <c r="E755" s="55" t="e">
        <f>VLOOKUP(Exam_11,AverageScores,b4_feedback,FALSE)</f>
        <v>#DIV/0!</v>
      </c>
      <c r="F755" s="55" t="e">
        <f>VLOOKUP(Exam_11,AverageScores,b4_feedback,FALSE)</f>
        <v>#DIV/0!</v>
      </c>
      <c r="G755" s="55" t="e">
        <f>VLOOKUP(Exam_11,AverageScores,b4_feedback,FALSE)</f>
        <v>#DIV/0!</v>
      </c>
    </row>
    <row r="756" spans="2:7" ht="13.5" customHeight="1">
      <c r="B756" s="51" t="s">
        <v>65</v>
      </c>
      <c r="C756" s="55" t="e">
        <f>VLOOKUP(Exam_11,AverageScores,b4_completeness,FALSE)</f>
        <v>#DIV/0!</v>
      </c>
      <c r="D756" s="55" t="e">
        <f>VLOOKUP(Exam_11,AverageScores,b4_completeness,FALSE)</f>
        <v>#DIV/0!</v>
      </c>
      <c r="E756" s="55" t="e">
        <f>VLOOKUP(Exam_11,AverageScores,b4_completeness,FALSE)</f>
        <v>#DIV/0!</v>
      </c>
      <c r="F756" s="55" t="e">
        <f>VLOOKUP(Exam_11,AverageScores,b4_completeness,FALSE)</f>
        <v>#DIV/0!</v>
      </c>
      <c r="G756" s="55" t="e">
        <f>VLOOKUP(Exam_11,AverageScores,b4_completeness,FALSE)</f>
        <v>#DIV/0!</v>
      </c>
    </row>
    <row r="757" spans="2:7" ht="13.5" customHeight="1">
      <c r="B757" s="51" t="s">
        <v>66</v>
      </c>
      <c r="C757" s="55">
        <f>VLOOKUP(Exam_11,ScoringAccuracyTable,b4_accuracy,FALSE)</f>
      </c>
      <c r="D757" s="55">
        <f>VLOOKUP(Exam_11,ScoringAccuracyTable,b4_accuracy,FALSE)</f>
      </c>
      <c r="E757" s="55">
        <f>VLOOKUP(Exam_11,ScoringAccuracyTable,b4_accuracy,FALSE)</f>
      </c>
      <c r="F757" s="55">
        <f>VLOOKUP(Exam_11,ScoringAccuracyTable,b4_accuracy,FALSE)</f>
      </c>
      <c r="G757" s="55">
        <f>VLOOKUP(Exam_11,ScoringAccuracyTable,b4_accuracy,FALSE)</f>
      </c>
    </row>
    <row r="758" spans="2:7" ht="13.5" customHeight="1">
      <c r="B758" s="241"/>
      <c r="C758" s="241"/>
      <c r="D758" s="241"/>
      <c r="E758" s="241"/>
      <c r="F758" s="241"/>
      <c r="G758" s="241"/>
    </row>
    <row r="763" spans="2:7" ht="13.5" customHeight="1">
      <c r="B763" s="52" t="s">
        <v>74</v>
      </c>
      <c r="C763" s="242" t="str">
        <f>BeerName5</f>
        <v>Style5</v>
      </c>
      <c r="D763" s="242"/>
      <c r="E763" s="242"/>
      <c r="F763" s="242"/>
      <c r="G763" s="242"/>
    </row>
    <row r="764" spans="2:7" ht="13.5" customHeight="1">
      <c r="B764" s="241"/>
      <c r="C764" s="241"/>
      <c r="D764" s="241"/>
      <c r="E764" s="241"/>
      <c r="F764" s="241"/>
      <c r="G764" s="241"/>
    </row>
    <row r="765" spans="2:7" ht="13.5" customHeight="1">
      <c r="B765" s="50" t="s">
        <v>68</v>
      </c>
      <c r="C765" s="54" t="s">
        <v>58</v>
      </c>
      <c r="D765" s="54" t="s">
        <v>59</v>
      </c>
      <c r="E765" s="54" t="s">
        <v>60</v>
      </c>
      <c r="F765" s="54" t="s">
        <v>61</v>
      </c>
      <c r="G765" s="54" t="s">
        <v>62</v>
      </c>
    </row>
    <row r="766" spans="2:7" ht="13.5" customHeight="1">
      <c r="B766" s="51" t="s">
        <v>63</v>
      </c>
      <c r="C766" s="55" t="e">
        <f>VLOOKUP(Exam_11,AverageScores,b5_perception,FALSE)</f>
        <v>#DIV/0!</v>
      </c>
      <c r="D766" s="55" t="e">
        <f>VLOOKUP(Exam_11,AverageScores,b5_perception,FALSE)</f>
        <v>#DIV/0!</v>
      </c>
      <c r="E766" s="55" t="e">
        <f>VLOOKUP(Exam_11,AverageScores,b5_perception,FALSE)</f>
        <v>#DIV/0!</v>
      </c>
      <c r="F766" s="55" t="e">
        <f>VLOOKUP(Exam_11,AverageScores,b5_perception,FALSE)</f>
        <v>#DIV/0!</v>
      </c>
      <c r="G766" s="55" t="e">
        <f>VLOOKUP(Exam_11,AverageScores,b5_perception,FALSE)</f>
        <v>#DIV/0!</v>
      </c>
    </row>
    <row r="767" spans="2:7" ht="13.5" customHeight="1">
      <c r="B767" s="51" t="s">
        <v>69</v>
      </c>
      <c r="C767" s="55" t="e">
        <f>VLOOKUP(Exam_11,AverageScores,b5_descriptive,FALSE)</f>
        <v>#DIV/0!</v>
      </c>
      <c r="D767" s="55" t="e">
        <f>VLOOKUP(Exam_11,AverageScores,b5_descriptive,FALSE)</f>
        <v>#DIV/0!</v>
      </c>
      <c r="E767" s="55" t="e">
        <f>VLOOKUP(Exam_11,AverageScores,b5_descriptive,FALSE)</f>
        <v>#DIV/0!</v>
      </c>
      <c r="F767" s="55" t="e">
        <f>VLOOKUP(Exam_11,AverageScores,b5_descriptive,FALSE)</f>
        <v>#DIV/0!</v>
      </c>
      <c r="G767" s="55" t="e">
        <f>VLOOKUP(Exam_11,AverageScores,b5_descriptive,FALSE)</f>
        <v>#DIV/0!</v>
      </c>
    </row>
    <row r="768" spans="2:7" ht="13.5" customHeight="1">
      <c r="B768" s="51" t="s">
        <v>64</v>
      </c>
      <c r="C768" s="55" t="e">
        <f>VLOOKUP(Exam_11,AverageScores,b5_feedback,FALSE)</f>
        <v>#DIV/0!</v>
      </c>
      <c r="D768" s="55" t="e">
        <f>VLOOKUP(Exam_11,AverageScores,b5_feedback,FALSE)</f>
        <v>#DIV/0!</v>
      </c>
      <c r="E768" s="55" t="e">
        <f>VLOOKUP(Exam_11,AverageScores,b5_feedback,FALSE)</f>
        <v>#DIV/0!</v>
      </c>
      <c r="F768" s="55" t="e">
        <f>VLOOKUP(Exam_11,AverageScores,b5_feedback,FALSE)</f>
        <v>#DIV/0!</v>
      </c>
      <c r="G768" s="55" t="e">
        <f>VLOOKUP(Exam_11,AverageScores,b5_feedback,FALSE)</f>
        <v>#DIV/0!</v>
      </c>
    </row>
    <row r="769" spans="2:7" ht="13.5" customHeight="1">
      <c r="B769" s="51" t="s">
        <v>65</v>
      </c>
      <c r="C769" s="55" t="e">
        <f>VLOOKUP(Exam_11,AverageScores,b5_completeness,FALSE)</f>
        <v>#DIV/0!</v>
      </c>
      <c r="D769" s="55" t="e">
        <f>VLOOKUP(Exam_11,AverageScores,b5_completeness,FALSE)</f>
        <v>#DIV/0!</v>
      </c>
      <c r="E769" s="55" t="e">
        <f>VLOOKUP(Exam_11,AverageScores,b5_completeness,FALSE)</f>
        <v>#DIV/0!</v>
      </c>
      <c r="F769" s="55" t="e">
        <f>VLOOKUP(Exam_11,AverageScores,b5_completeness,FALSE)</f>
        <v>#DIV/0!</v>
      </c>
      <c r="G769" s="55" t="e">
        <f>VLOOKUP(Exam_11,AverageScores,b5_completeness,FALSE)</f>
        <v>#DIV/0!</v>
      </c>
    </row>
    <row r="770" spans="2:7" ht="13.5" customHeight="1">
      <c r="B770" s="51" t="s">
        <v>66</v>
      </c>
      <c r="C770" s="55">
        <f>VLOOKUP(Exam_11,ScoringAccuracyTable,b5_accuracy,FALSE)</f>
      </c>
      <c r="D770" s="55">
        <f>VLOOKUP(Exam_11,ScoringAccuracyTable,b5_accuracy,FALSE)</f>
      </c>
      <c r="E770" s="55">
        <f>VLOOKUP(Exam_11,ScoringAccuracyTable,b5_accuracy,FALSE)</f>
      </c>
      <c r="F770" s="55">
        <f>VLOOKUP(Exam_11,ScoringAccuracyTable,b5_accuracy,FALSE)</f>
      </c>
      <c r="G770" s="55">
        <f>VLOOKUP(Exam_11,ScoringAccuracyTable,b5_accuracy,FALSE)</f>
      </c>
    </row>
    <row r="771" spans="2:7" ht="13.5" customHeight="1">
      <c r="B771" s="241"/>
      <c r="C771" s="241"/>
      <c r="D771" s="241"/>
      <c r="E771" s="241"/>
      <c r="F771" s="241"/>
      <c r="G771" s="241"/>
    </row>
    <row r="772" spans="2:7" ht="13.5" customHeight="1">
      <c r="B772" s="52" t="s">
        <v>73</v>
      </c>
      <c r="C772" s="242" t="str">
        <f>BeerName6</f>
        <v>Style6</v>
      </c>
      <c r="D772" s="242"/>
      <c r="E772" s="242"/>
      <c r="F772" s="242"/>
      <c r="G772" s="242"/>
    </row>
    <row r="773" spans="2:7" ht="13.5" customHeight="1">
      <c r="B773" s="241"/>
      <c r="C773" s="241"/>
      <c r="D773" s="241"/>
      <c r="E773" s="241"/>
      <c r="F773" s="241"/>
      <c r="G773" s="241"/>
    </row>
    <row r="774" spans="2:7" ht="13.5" customHeight="1">
      <c r="B774" s="50" t="s">
        <v>68</v>
      </c>
      <c r="C774" s="54" t="s">
        <v>58</v>
      </c>
      <c r="D774" s="54" t="s">
        <v>59</v>
      </c>
      <c r="E774" s="54" t="s">
        <v>60</v>
      </c>
      <c r="F774" s="54" t="s">
        <v>61</v>
      </c>
      <c r="G774" s="54" t="s">
        <v>62</v>
      </c>
    </row>
    <row r="775" spans="2:7" ht="13.5" customHeight="1">
      <c r="B775" s="51" t="s">
        <v>63</v>
      </c>
      <c r="C775" s="55" t="e">
        <f>VLOOKUP(Exam_11,AverageScores,b6_perception,FALSE)</f>
        <v>#DIV/0!</v>
      </c>
      <c r="D775" s="55" t="e">
        <f>VLOOKUP(Exam_11,AverageScores,b6_perception,FALSE)</f>
        <v>#DIV/0!</v>
      </c>
      <c r="E775" s="55" t="e">
        <f>VLOOKUP(Exam_11,AverageScores,b6_perception,FALSE)</f>
        <v>#DIV/0!</v>
      </c>
      <c r="F775" s="55" t="e">
        <f>VLOOKUP(Exam_11,AverageScores,b6_perception,FALSE)</f>
        <v>#DIV/0!</v>
      </c>
      <c r="G775" s="55" t="e">
        <f>VLOOKUP(Exam_11,AverageScores,b6_perception,FALSE)</f>
        <v>#DIV/0!</v>
      </c>
    </row>
    <row r="776" spans="2:7" ht="13.5" customHeight="1">
      <c r="B776" s="51" t="s">
        <v>69</v>
      </c>
      <c r="C776" s="55" t="e">
        <f>VLOOKUP(Exam_11,AverageScores,b6_descriptive,FALSE)</f>
        <v>#DIV/0!</v>
      </c>
      <c r="D776" s="55" t="e">
        <f>VLOOKUP(Exam_11,AverageScores,b6_descriptive,FALSE)</f>
        <v>#DIV/0!</v>
      </c>
      <c r="E776" s="55" t="e">
        <f>VLOOKUP(Exam_11,AverageScores,b6_descriptive,FALSE)</f>
        <v>#DIV/0!</v>
      </c>
      <c r="F776" s="55" t="e">
        <f>VLOOKUP(Exam_11,AverageScores,b6_descriptive,FALSE)</f>
        <v>#DIV/0!</v>
      </c>
      <c r="G776" s="55" t="e">
        <f>VLOOKUP(Exam_11,AverageScores,b6_descriptive,FALSE)</f>
        <v>#DIV/0!</v>
      </c>
    </row>
    <row r="777" spans="2:7" ht="13.5" customHeight="1">
      <c r="B777" s="51" t="s">
        <v>64</v>
      </c>
      <c r="C777" s="55" t="e">
        <f>VLOOKUP(Exam_11,AverageScores,b6_feedback,FALSE)</f>
        <v>#DIV/0!</v>
      </c>
      <c r="D777" s="55" t="e">
        <f>VLOOKUP(Exam_11,AverageScores,b6_feedback,FALSE)</f>
        <v>#DIV/0!</v>
      </c>
      <c r="E777" s="55" t="e">
        <f>VLOOKUP(Exam_11,AverageScores,b6_feedback,FALSE)</f>
        <v>#DIV/0!</v>
      </c>
      <c r="F777" s="55" t="e">
        <f>VLOOKUP(Exam_11,AverageScores,b6_feedback,FALSE)</f>
        <v>#DIV/0!</v>
      </c>
      <c r="G777" s="55" t="e">
        <f>VLOOKUP(Exam_11,AverageScores,b6_feedback,FALSE)</f>
        <v>#DIV/0!</v>
      </c>
    </row>
    <row r="778" spans="2:7" ht="13.5" customHeight="1">
      <c r="B778" s="51" t="s">
        <v>65</v>
      </c>
      <c r="C778" s="55" t="e">
        <f>VLOOKUP(Exam_11,AverageScores,b6_completeness,FALSE)</f>
        <v>#DIV/0!</v>
      </c>
      <c r="D778" s="55" t="e">
        <f>VLOOKUP(Exam_11,AverageScores,b6_completeness,FALSE)</f>
        <v>#DIV/0!</v>
      </c>
      <c r="E778" s="55" t="e">
        <f>VLOOKUP(Exam_11,AverageScores,b6_completeness,FALSE)</f>
        <v>#DIV/0!</v>
      </c>
      <c r="F778" s="55" t="e">
        <f>VLOOKUP(Exam_11,AverageScores,b6_completeness,FALSE)</f>
        <v>#DIV/0!</v>
      </c>
      <c r="G778" s="55" t="e">
        <f>VLOOKUP(Exam_11,AverageScores,b6_completeness,FALSE)</f>
        <v>#DIV/0!</v>
      </c>
    </row>
    <row r="779" spans="2:7" ht="13.5" customHeight="1">
      <c r="B779" s="51" t="s">
        <v>66</v>
      </c>
      <c r="C779" s="55">
        <f>VLOOKUP(Exam_11,ScoringAccuracyTable,b6_accuracy,FALSE)</f>
      </c>
      <c r="D779" s="55">
        <f>VLOOKUP(Exam_11,ScoringAccuracyTable,b6_accuracy,FALSE)</f>
      </c>
      <c r="E779" s="55">
        <f>VLOOKUP(Exam_11,ScoringAccuracyTable,b6_accuracy,FALSE)</f>
      </c>
      <c r="F779" s="55">
        <f>VLOOKUP(Exam_11,ScoringAccuracyTable,b6_accuracy,FALSE)</f>
      </c>
      <c r="G779" s="55">
        <f>VLOOKUP(Exam_11,ScoringAccuracyTable,b6_accuracy,FALSE)</f>
      </c>
    </row>
    <row r="782" spans="1:7" ht="13.5" customHeight="1">
      <c r="A782" s="131" t="s">
        <v>18</v>
      </c>
      <c r="B782" s="243" t="s">
        <v>70</v>
      </c>
      <c r="C782" s="243"/>
      <c r="D782" s="243"/>
      <c r="E782" s="243"/>
      <c r="F782" s="243"/>
      <c r="G782" s="243"/>
    </row>
    <row r="783" spans="1:7" ht="13.5" customHeight="1">
      <c r="A783" s="132">
        <f>Exam_12</f>
        <v>12</v>
      </c>
      <c r="B783" s="244"/>
      <c r="C783" s="244"/>
      <c r="D783" s="244"/>
      <c r="E783" s="244"/>
      <c r="F783" s="244"/>
      <c r="G783" s="244"/>
    </row>
    <row r="784" spans="2:7" ht="13.5" customHeight="1">
      <c r="B784" s="50" t="s">
        <v>68</v>
      </c>
      <c r="C784" s="54" t="s">
        <v>58</v>
      </c>
      <c r="D784" s="54" t="s">
        <v>59</v>
      </c>
      <c r="E784" s="54" t="s">
        <v>60</v>
      </c>
      <c r="F784" s="54" t="s">
        <v>61</v>
      </c>
      <c r="G784" s="54" t="s">
        <v>62</v>
      </c>
    </row>
    <row r="785" spans="2:7" ht="13.5" customHeight="1">
      <c r="B785" s="51" t="s">
        <v>63</v>
      </c>
      <c r="C785" s="55" t="e">
        <f>0.2*AVERAGE(VLOOKUP(Exam_12,Sum_Accuracy,9,FALSE),VLOOKUP(Exam_12,Sum_Accuracy,10,FALSE))</f>
        <v>#VALUE!</v>
      </c>
      <c r="D785" s="55" t="e">
        <f>0.2*AVERAGE(VLOOKUP(Exam_12,Sum_Accuracy,9,FALSE),VLOOKUP(Exam_12,Sum_Accuracy,10,FALSE))</f>
        <v>#VALUE!</v>
      </c>
      <c r="E785" s="55" t="e">
        <f>0.2*AVERAGE(VLOOKUP(Exam_12,Sum_Accuracy,9,FALSE),VLOOKUP(Exam_12,Sum_Accuracy,10,FALSE))</f>
        <v>#VALUE!</v>
      </c>
      <c r="F785" s="55" t="e">
        <f>0.2*AVERAGE(VLOOKUP(Exam_12,Sum_Accuracy,9,FALSE),VLOOKUP(Exam_12,Sum_Accuracy,10,FALSE))</f>
        <v>#VALUE!</v>
      </c>
      <c r="G785" s="55" t="e">
        <f>0.2*AVERAGE(VLOOKUP(Exam_12,Sum_Accuracy,9,FALSE),VLOOKUP(Exam_12,Sum_Accuracy,10,FALSE))</f>
        <v>#VALUE!</v>
      </c>
    </row>
    <row r="786" spans="2:7" ht="13.5" customHeight="1">
      <c r="B786" s="51" t="s">
        <v>69</v>
      </c>
      <c r="C786" s="55" t="e">
        <f>0.2*AVERAGE(VLOOKUP(Exam_12,Sum_Accuracy,11,FALSE),VLOOKUP(Exam_12,Sum_Accuracy,12,FALSE))</f>
        <v>#VALUE!</v>
      </c>
      <c r="D786" s="55" t="e">
        <f>0.2*AVERAGE(VLOOKUP(Exam_12,Sum_Accuracy,11,FALSE),VLOOKUP(Exam_12,Sum_Accuracy,12,FALSE))</f>
        <v>#VALUE!</v>
      </c>
      <c r="E786" s="55" t="e">
        <f>0.2*AVERAGE(VLOOKUP(Exam_12,Sum_Accuracy,11,FALSE),VLOOKUP(Exam_12,Sum_Accuracy,12,FALSE))</f>
        <v>#VALUE!</v>
      </c>
      <c r="F786" s="55" t="e">
        <f>0.2*AVERAGE(VLOOKUP(Exam_12,Sum_Accuracy,11,FALSE),VLOOKUP(Exam_12,Sum_Accuracy,12,FALSE))</f>
        <v>#VALUE!</v>
      </c>
      <c r="G786" s="55" t="e">
        <f>0.2*AVERAGE(VLOOKUP(Exam_12,Sum_Accuracy,11,FALSE),VLOOKUP(Exam_12,Sum_Accuracy,12,FALSE))</f>
        <v>#VALUE!</v>
      </c>
    </row>
    <row r="787" spans="2:7" ht="13.5" customHeight="1">
      <c r="B787" s="51" t="s">
        <v>64</v>
      </c>
      <c r="C787" s="55" t="e">
        <f>0.2*AVERAGE(VLOOKUP(Exam_12,Sum_Accuracy,13,FALSE),VLOOKUP(Exam_12,Sum_Accuracy,14,FALSE))</f>
        <v>#VALUE!</v>
      </c>
      <c r="D787" s="55" t="e">
        <f>0.2*AVERAGE(VLOOKUP(Exam_12,Sum_Accuracy,13,FALSE),VLOOKUP(Exam_12,Sum_Accuracy,14,FALSE))</f>
        <v>#VALUE!</v>
      </c>
      <c r="E787" s="55" t="e">
        <f>0.2*AVERAGE(VLOOKUP(Exam_12,Sum_Accuracy,13,FALSE),VLOOKUP(Exam_12,Sum_Accuracy,14,FALSE))</f>
        <v>#VALUE!</v>
      </c>
      <c r="F787" s="55" t="e">
        <f>0.2*AVERAGE(VLOOKUP(Exam_12,Sum_Accuracy,13,FALSE),VLOOKUP(Exam_12,Sum_Accuracy,14,FALSE))</f>
        <v>#VALUE!</v>
      </c>
      <c r="G787" s="55" t="e">
        <f>0.2*AVERAGE(VLOOKUP(Exam_12,Sum_Accuracy,13,FALSE),VLOOKUP(Exam_12,Sum_Accuracy,14,FALSE))</f>
        <v>#VALUE!</v>
      </c>
    </row>
    <row r="788" spans="2:7" ht="13.5" customHeight="1">
      <c r="B788" s="51" t="s">
        <v>65</v>
      </c>
      <c r="C788" s="55" t="e">
        <f>0.2*AVERAGE(VLOOKUP(Exam_12,Sum_Accuracy,15,FALSE),VLOOKUP(Exam_12,Sum_Accuracy,16,FALSE))</f>
        <v>#VALUE!</v>
      </c>
      <c r="D788" s="55" t="e">
        <f>0.2*AVERAGE(VLOOKUP(Exam_12,Sum_Accuracy,15,FALSE),VLOOKUP(Exam_12,Sum_Accuracy,16,FALSE))</f>
        <v>#VALUE!</v>
      </c>
      <c r="E788" s="55" t="e">
        <f>0.2*AVERAGE(VLOOKUP(Exam_12,Sum_Accuracy,15,FALSE),VLOOKUP(Exam_12,Sum_Accuracy,16,FALSE))</f>
        <v>#VALUE!</v>
      </c>
      <c r="F788" s="55" t="e">
        <f>0.2*AVERAGE(VLOOKUP(Exam_12,Sum_Accuracy,15,FALSE),VLOOKUP(Exam_12,Sum_Accuracy,16,FALSE))</f>
        <v>#VALUE!</v>
      </c>
      <c r="G788" s="55" t="e">
        <f>0.2*AVERAGE(VLOOKUP(Exam_12,Sum_Accuracy,15,FALSE),VLOOKUP(Exam_12,Sum_Accuracy,16,FALSE))</f>
        <v>#VALUE!</v>
      </c>
    </row>
    <row r="789" spans="2:7" ht="13.5" customHeight="1">
      <c r="B789" s="51" t="s">
        <v>66</v>
      </c>
      <c r="C789" s="55" t="e">
        <f>VLOOKUP(Exam_12,Sum_Accuracy,8,FALSE)/5</f>
        <v>#VALUE!</v>
      </c>
      <c r="D789" s="55" t="e">
        <f>VLOOKUP(Exam_12,Sum_Accuracy,8,FALSE)/5</f>
        <v>#VALUE!</v>
      </c>
      <c r="E789" s="55" t="e">
        <f>VLOOKUP(Exam_12,Sum_Accuracy,8,FALSE)/5</f>
        <v>#VALUE!</v>
      </c>
      <c r="F789" s="55" t="e">
        <f>VLOOKUP(Exam_12,Sum_Accuracy,8,FALSE)/5</f>
        <v>#VALUE!</v>
      </c>
      <c r="G789" s="55" t="e">
        <f>VLOOKUP(Exam_12,Sum_Accuracy,8,FALSE)/5</f>
        <v>#VALUE!</v>
      </c>
    </row>
    <row r="790" spans="2:7" ht="13.5" customHeight="1">
      <c r="B790" s="241"/>
      <c r="C790" s="241"/>
      <c r="D790" s="241"/>
      <c r="E790" s="241"/>
      <c r="F790" s="241"/>
      <c r="G790" s="241"/>
    </row>
    <row r="792" spans="2:7" ht="13.5" customHeight="1">
      <c r="B792" s="245" t="s">
        <v>67</v>
      </c>
      <c r="C792" s="245"/>
      <c r="D792" s="245"/>
      <c r="E792" s="245"/>
      <c r="F792" s="245"/>
      <c r="G792" s="245"/>
    </row>
    <row r="793" spans="2:7" ht="13.5" customHeight="1">
      <c r="B793" s="246"/>
      <c r="C793" s="246"/>
      <c r="D793" s="246"/>
      <c r="E793" s="246"/>
      <c r="F793" s="246"/>
      <c r="G793" s="246"/>
    </row>
    <row r="794" spans="2:7" ht="13.5" customHeight="1">
      <c r="B794" s="52" t="s">
        <v>71</v>
      </c>
      <c r="C794" s="242" t="str">
        <f>BeerName1</f>
        <v>Style1</v>
      </c>
      <c r="D794" s="242"/>
      <c r="E794" s="242"/>
      <c r="F794" s="242"/>
      <c r="G794" s="242"/>
    </row>
    <row r="795" spans="2:7" ht="13.5" customHeight="1">
      <c r="B795" s="241"/>
      <c r="C795" s="241"/>
      <c r="D795" s="241"/>
      <c r="E795" s="241"/>
      <c r="F795" s="241"/>
      <c r="G795" s="241"/>
    </row>
    <row r="796" spans="2:7" ht="13.5" customHeight="1">
      <c r="B796" s="50" t="s">
        <v>68</v>
      </c>
      <c r="C796" s="54" t="s">
        <v>58</v>
      </c>
      <c r="D796" s="54" t="s">
        <v>59</v>
      </c>
      <c r="E796" s="54" t="s">
        <v>60</v>
      </c>
      <c r="F796" s="54" t="s">
        <v>61</v>
      </c>
      <c r="G796" s="54" t="s">
        <v>62</v>
      </c>
    </row>
    <row r="797" spans="2:7" ht="13.5" customHeight="1">
      <c r="B797" s="51" t="s">
        <v>63</v>
      </c>
      <c r="C797" s="55" t="e">
        <f>VLOOKUP(Exam_12,AverageScores,b1_perception,FALSE)</f>
        <v>#DIV/0!</v>
      </c>
      <c r="D797" s="55" t="e">
        <f>VLOOKUP(Exam_12,AverageScores,b1_perception,FALSE)</f>
        <v>#DIV/0!</v>
      </c>
      <c r="E797" s="55" t="e">
        <f>VLOOKUP(Exam_12,AverageScores,b1_perception,FALSE)</f>
        <v>#DIV/0!</v>
      </c>
      <c r="F797" s="55" t="e">
        <f>VLOOKUP(Exam_12,AverageScores,b1_perception,FALSE)</f>
        <v>#DIV/0!</v>
      </c>
      <c r="G797" s="55" t="e">
        <f>VLOOKUP(Exam_12,AverageScores,b1_perception,FALSE)</f>
        <v>#DIV/0!</v>
      </c>
    </row>
    <row r="798" spans="2:7" ht="13.5" customHeight="1">
      <c r="B798" s="51" t="s">
        <v>69</v>
      </c>
      <c r="C798" s="55" t="e">
        <f>VLOOKUP(Exam_12,AverageScores,b1_descriptive,FALSE)</f>
        <v>#DIV/0!</v>
      </c>
      <c r="D798" s="55" t="e">
        <f>VLOOKUP(Exam_12,AverageScores,b1_descriptive,FALSE)</f>
        <v>#DIV/0!</v>
      </c>
      <c r="E798" s="55" t="e">
        <f>VLOOKUP(Exam_12,AverageScores,b1_descriptive,FALSE)</f>
        <v>#DIV/0!</v>
      </c>
      <c r="F798" s="55" t="e">
        <f>VLOOKUP(Exam_12,AverageScores,b1_descriptive,FALSE)</f>
        <v>#DIV/0!</v>
      </c>
      <c r="G798" s="55" t="e">
        <f>VLOOKUP(Exam_12,AverageScores,b1_descriptive,FALSE)</f>
        <v>#DIV/0!</v>
      </c>
    </row>
    <row r="799" spans="2:7" ht="13.5" customHeight="1">
      <c r="B799" s="51" t="s">
        <v>64</v>
      </c>
      <c r="C799" s="55" t="e">
        <f>VLOOKUP(Exam_12,AverageScores,b1_feedback,FALSE)</f>
        <v>#DIV/0!</v>
      </c>
      <c r="D799" s="55" t="e">
        <f>VLOOKUP(Exam_12,AverageScores,b1_feedback,FALSE)</f>
        <v>#DIV/0!</v>
      </c>
      <c r="E799" s="55" t="e">
        <f>VLOOKUP(Exam_12,AverageScores,b1_feedback,FALSE)</f>
        <v>#DIV/0!</v>
      </c>
      <c r="F799" s="55" t="e">
        <f>VLOOKUP(Exam_12,AverageScores,b1_feedback,FALSE)</f>
        <v>#DIV/0!</v>
      </c>
      <c r="G799" s="55" t="e">
        <f>VLOOKUP(Exam_12,AverageScores,b1_feedback,FALSE)</f>
        <v>#DIV/0!</v>
      </c>
    </row>
    <row r="800" spans="2:7" ht="13.5" customHeight="1">
      <c r="B800" s="51" t="s">
        <v>65</v>
      </c>
      <c r="C800" s="55" t="e">
        <f>VLOOKUP(Exam_12,AverageScores,b1_completeness,FALSE)</f>
        <v>#DIV/0!</v>
      </c>
      <c r="D800" s="55" t="e">
        <f>VLOOKUP(Exam_12,AverageScores,b1_completeness,FALSE)</f>
        <v>#DIV/0!</v>
      </c>
      <c r="E800" s="55" t="e">
        <f>VLOOKUP(Exam_12,AverageScores,b1_completeness,FALSE)</f>
        <v>#DIV/0!</v>
      </c>
      <c r="F800" s="55" t="e">
        <f>VLOOKUP(Exam_12,AverageScores,b1_completeness,FALSE)</f>
        <v>#DIV/0!</v>
      </c>
      <c r="G800" s="55" t="e">
        <f>VLOOKUP(Exam_12,AverageScores,b1_completeness,FALSE)</f>
        <v>#DIV/0!</v>
      </c>
    </row>
    <row r="801" spans="2:7" ht="13.5" customHeight="1">
      <c r="B801" s="51" t="s">
        <v>66</v>
      </c>
      <c r="C801" s="55">
        <f>VLOOKUP(Exam_12,ScoringAccuracyTable,b1_accuracy,FALSE)</f>
      </c>
      <c r="D801" s="55">
        <f>VLOOKUP(Exam_12,ScoringAccuracyTable,b1_accuracy,FALSE)</f>
      </c>
      <c r="E801" s="55">
        <f>VLOOKUP(Exam_12,ScoringAccuracyTable,b1_accuracy,FALSE)</f>
      </c>
      <c r="F801" s="55">
        <f>VLOOKUP(Exam_12,ScoringAccuracyTable,b1_accuracy,FALSE)</f>
      </c>
      <c r="G801" s="55">
        <f>VLOOKUP(Exam_12,ScoringAccuracyTable,b1_accuracy,FALSE)</f>
      </c>
    </row>
    <row r="802" spans="2:7" ht="13.5" customHeight="1">
      <c r="B802" s="241"/>
      <c r="C802" s="241"/>
      <c r="D802" s="241"/>
      <c r="E802" s="241"/>
      <c r="F802" s="241"/>
      <c r="G802" s="241"/>
    </row>
    <row r="803" spans="2:7" ht="13.5" customHeight="1">
      <c r="B803" s="52" t="s">
        <v>72</v>
      </c>
      <c r="C803" s="242" t="str">
        <f>BeerName2</f>
        <v>Style2</v>
      </c>
      <c r="D803" s="242"/>
      <c r="E803" s="242"/>
      <c r="F803" s="242"/>
      <c r="G803" s="242"/>
    </row>
    <row r="804" spans="2:7" ht="13.5" customHeight="1">
      <c r="B804" s="247"/>
      <c r="C804" s="247"/>
      <c r="D804" s="247"/>
      <c r="E804" s="247"/>
      <c r="F804" s="247"/>
      <c r="G804" s="247"/>
    </row>
    <row r="805" spans="2:7" ht="13.5" customHeight="1">
      <c r="B805" s="50" t="s">
        <v>68</v>
      </c>
      <c r="C805" s="56" t="s">
        <v>58</v>
      </c>
      <c r="D805" s="56" t="s">
        <v>59</v>
      </c>
      <c r="E805" s="56" t="s">
        <v>60</v>
      </c>
      <c r="F805" s="56" t="s">
        <v>61</v>
      </c>
      <c r="G805" s="56" t="s">
        <v>62</v>
      </c>
    </row>
    <row r="806" spans="2:7" ht="13.5" customHeight="1">
      <c r="B806" s="51" t="s">
        <v>63</v>
      </c>
      <c r="C806" s="55" t="e">
        <f>VLOOKUP(Exam_12,AverageScores,b2_perceptive,FALSE)</f>
        <v>#DIV/0!</v>
      </c>
      <c r="D806" s="55" t="e">
        <f>VLOOKUP(Exam_12,AverageScores,b2_perceptive,FALSE)</f>
        <v>#DIV/0!</v>
      </c>
      <c r="E806" s="55" t="e">
        <f>VLOOKUP(Exam_12,AverageScores,b2_perceptive,FALSE)</f>
        <v>#DIV/0!</v>
      </c>
      <c r="F806" s="55" t="e">
        <f>VLOOKUP(Exam_12,AverageScores,b2_perceptive,FALSE)</f>
        <v>#DIV/0!</v>
      </c>
      <c r="G806" s="55" t="e">
        <f>VLOOKUP(Exam_12,AverageScores,b2_perceptive,FALSE)</f>
        <v>#DIV/0!</v>
      </c>
    </row>
    <row r="807" spans="2:7" ht="13.5" customHeight="1">
      <c r="B807" s="51" t="s">
        <v>69</v>
      </c>
      <c r="C807" s="55" t="e">
        <f>VLOOKUP(Exam_12,AverageScores,b2_descriptive,FALSE)</f>
        <v>#DIV/0!</v>
      </c>
      <c r="D807" s="55" t="e">
        <f>VLOOKUP(Exam_12,AverageScores,b2_descriptive,FALSE)</f>
        <v>#DIV/0!</v>
      </c>
      <c r="E807" s="55" t="e">
        <f>VLOOKUP(Exam_12,AverageScores,b2_descriptive,FALSE)</f>
        <v>#DIV/0!</v>
      </c>
      <c r="F807" s="55" t="e">
        <f>VLOOKUP(Exam_12,AverageScores,b2_descriptive,FALSE)</f>
        <v>#DIV/0!</v>
      </c>
      <c r="G807" s="55" t="e">
        <f>VLOOKUP(Exam_12,AverageScores,b2_descriptive,FALSE)</f>
        <v>#DIV/0!</v>
      </c>
    </row>
    <row r="808" spans="2:7" ht="13.5" customHeight="1">
      <c r="B808" s="51" t="s">
        <v>64</v>
      </c>
      <c r="C808" s="55" t="e">
        <f>VLOOKUP(Exam_12,AverageScores,b2_feedback,FALSE)</f>
        <v>#DIV/0!</v>
      </c>
      <c r="D808" s="55" t="e">
        <f>VLOOKUP(Exam_12,AverageScores,b2_feedback,FALSE)</f>
        <v>#DIV/0!</v>
      </c>
      <c r="E808" s="55" t="e">
        <f>VLOOKUP(Exam_12,AverageScores,b2_feedback,FALSE)</f>
        <v>#DIV/0!</v>
      </c>
      <c r="F808" s="55" t="e">
        <f>VLOOKUP(Exam_12,AverageScores,b2_feedback,FALSE)</f>
        <v>#DIV/0!</v>
      </c>
      <c r="G808" s="55" t="e">
        <f>VLOOKUP(Exam_12,AverageScores,b2_feedback,FALSE)</f>
        <v>#DIV/0!</v>
      </c>
    </row>
    <row r="809" spans="2:7" ht="13.5" customHeight="1">
      <c r="B809" s="51" t="s">
        <v>65</v>
      </c>
      <c r="C809" s="55" t="e">
        <f>VLOOKUP(Exam_12,AverageScores,b2_completeness,FALSE)</f>
        <v>#DIV/0!</v>
      </c>
      <c r="D809" s="55" t="e">
        <f>VLOOKUP(Exam_12,AverageScores,b2_completeness,FALSE)</f>
        <v>#DIV/0!</v>
      </c>
      <c r="E809" s="55" t="e">
        <f>VLOOKUP(Exam_12,AverageScores,b2_completeness,FALSE)</f>
        <v>#DIV/0!</v>
      </c>
      <c r="F809" s="55" t="e">
        <f>VLOOKUP(Exam_12,AverageScores,b2_completeness,FALSE)</f>
        <v>#DIV/0!</v>
      </c>
      <c r="G809" s="55" t="e">
        <f>VLOOKUP(Exam_12,AverageScores,b2_completeness,FALSE)</f>
        <v>#DIV/0!</v>
      </c>
    </row>
    <row r="810" spans="2:7" ht="13.5" customHeight="1">
      <c r="B810" s="51" t="s">
        <v>66</v>
      </c>
      <c r="C810" s="55">
        <f>VLOOKUP(Exam_12,ScoringAccuracyTable,b2_accuracy,FALSE)</f>
      </c>
      <c r="D810" s="55">
        <f>VLOOKUP(Exam_12,ScoringAccuracyTable,b2_accuracy,FALSE)</f>
      </c>
      <c r="E810" s="55">
        <f>VLOOKUP(Exam_12,ScoringAccuracyTable,b2_accuracy,FALSE)</f>
      </c>
      <c r="F810" s="55">
        <f>VLOOKUP(Exam_12,ScoringAccuracyTable,b2_accuracy,FALSE)</f>
      </c>
      <c r="G810" s="55">
        <f>VLOOKUP(Exam_12,ScoringAccuracyTable,b2_accuracy,FALSE)</f>
      </c>
    </row>
    <row r="811" spans="2:7" ht="13.5" customHeight="1">
      <c r="B811" s="241"/>
      <c r="C811" s="241"/>
      <c r="D811" s="241"/>
      <c r="E811" s="241"/>
      <c r="F811" s="241"/>
      <c r="G811" s="241"/>
    </row>
    <row r="812" spans="2:7" ht="13.5" customHeight="1">
      <c r="B812" s="52" t="s">
        <v>76</v>
      </c>
      <c r="C812" s="242" t="str">
        <f>BeerName3</f>
        <v>Style3</v>
      </c>
      <c r="D812" s="242"/>
      <c r="E812" s="242"/>
      <c r="F812" s="242"/>
      <c r="G812" s="242"/>
    </row>
    <row r="813" spans="2:7" ht="13.5" customHeight="1">
      <c r="B813" s="247"/>
      <c r="C813" s="247"/>
      <c r="D813" s="247"/>
      <c r="E813" s="247"/>
      <c r="F813" s="247"/>
      <c r="G813" s="247"/>
    </row>
    <row r="814" spans="2:7" ht="13.5" customHeight="1">
      <c r="B814" s="50" t="s">
        <v>68</v>
      </c>
      <c r="C814" s="54" t="s">
        <v>58</v>
      </c>
      <c r="D814" s="54" t="s">
        <v>59</v>
      </c>
      <c r="E814" s="54" t="s">
        <v>60</v>
      </c>
      <c r="F814" s="54" t="s">
        <v>61</v>
      </c>
      <c r="G814" s="54" t="s">
        <v>62</v>
      </c>
    </row>
    <row r="815" spans="2:7" ht="13.5" customHeight="1">
      <c r="B815" s="51" t="s">
        <v>63</v>
      </c>
      <c r="C815" s="55" t="e">
        <f>VLOOKUP(Exam_12,AverageScores,b3_perception,FALSE)</f>
        <v>#DIV/0!</v>
      </c>
      <c r="D815" s="55" t="e">
        <f>VLOOKUP(Exam_12,AverageScores,b3_perception,FALSE)</f>
        <v>#DIV/0!</v>
      </c>
      <c r="E815" s="55" t="e">
        <f>VLOOKUP(Exam_12,AverageScores,b3_perception,FALSE)</f>
        <v>#DIV/0!</v>
      </c>
      <c r="F815" s="55" t="e">
        <f>VLOOKUP(Exam_12,AverageScores,b3_perception,FALSE)</f>
        <v>#DIV/0!</v>
      </c>
      <c r="G815" s="55" t="e">
        <f>VLOOKUP(Exam_12,AverageScores,b3_perception,FALSE)</f>
        <v>#DIV/0!</v>
      </c>
    </row>
    <row r="816" spans="2:7" ht="13.5" customHeight="1">
      <c r="B816" s="51" t="s">
        <v>69</v>
      </c>
      <c r="C816" s="55" t="e">
        <f>VLOOKUP(Exam_12,AverageScores,b3_descriptive,FALSE)</f>
        <v>#DIV/0!</v>
      </c>
      <c r="D816" s="55" t="e">
        <f>VLOOKUP(Exam_12,AverageScores,b3_descriptive,FALSE)</f>
        <v>#DIV/0!</v>
      </c>
      <c r="E816" s="55" t="e">
        <f>VLOOKUP(Exam_12,AverageScores,b3_descriptive,FALSE)</f>
        <v>#DIV/0!</v>
      </c>
      <c r="F816" s="55" t="e">
        <f>VLOOKUP(Exam_12,AverageScores,b3_descriptive,FALSE)</f>
        <v>#DIV/0!</v>
      </c>
      <c r="G816" s="55" t="e">
        <f>VLOOKUP(Exam_12,AverageScores,b3_descriptive,FALSE)</f>
        <v>#DIV/0!</v>
      </c>
    </row>
    <row r="817" spans="2:7" ht="13.5" customHeight="1">
      <c r="B817" s="51" t="s">
        <v>64</v>
      </c>
      <c r="C817" s="55" t="e">
        <f>VLOOKUP(Exam_12,AverageScores,b3_feedback,FALSE)</f>
        <v>#DIV/0!</v>
      </c>
      <c r="D817" s="55" t="e">
        <f>VLOOKUP(Exam_12,AverageScores,b3_feedback,FALSE)</f>
        <v>#DIV/0!</v>
      </c>
      <c r="E817" s="55" t="e">
        <f>VLOOKUP(Exam_12,AverageScores,b3_feedback,FALSE)</f>
        <v>#DIV/0!</v>
      </c>
      <c r="F817" s="55" t="e">
        <f>VLOOKUP(Exam_12,AverageScores,b3_feedback,FALSE)</f>
        <v>#DIV/0!</v>
      </c>
      <c r="G817" s="55" t="e">
        <f>VLOOKUP(Exam_12,AverageScores,b3_feedback,FALSE)</f>
        <v>#DIV/0!</v>
      </c>
    </row>
    <row r="818" spans="2:7" ht="13.5" customHeight="1">
      <c r="B818" s="51" t="s">
        <v>65</v>
      </c>
      <c r="C818" s="55" t="e">
        <f>VLOOKUP(Exam_12,AverageScores,b3_completeness,FALSE)</f>
        <v>#DIV/0!</v>
      </c>
      <c r="D818" s="55" t="e">
        <f>VLOOKUP(Exam_12,AverageScores,b3_completeness,FALSE)</f>
        <v>#DIV/0!</v>
      </c>
      <c r="E818" s="55" t="e">
        <f>VLOOKUP(Exam_12,AverageScores,b3_completeness,FALSE)</f>
        <v>#DIV/0!</v>
      </c>
      <c r="F818" s="55" t="e">
        <f>VLOOKUP(Exam_12,AverageScores,b3_completeness,FALSE)</f>
        <v>#DIV/0!</v>
      </c>
      <c r="G818" s="55" t="e">
        <f>VLOOKUP(Exam_12,AverageScores,b3_completeness,FALSE)</f>
        <v>#DIV/0!</v>
      </c>
    </row>
    <row r="819" spans="2:7" ht="13.5" customHeight="1">
      <c r="B819" s="51" t="s">
        <v>66</v>
      </c>
      <c r="C819" s="55">
        <f>VLOOKUP(Exam_12,ScoringAccuracyTable,b3_accuracy,FALSE)</f>
      </c>
      <c r="D819" s="55">
        <f>VLOOKUP(Exam_12,ScoringAccuracyTable,b3_accuracy,FALSE)</f>
      </c>
      <c r="E819" s="55">
        <f>VLOOKUP(Exam_12,ScoringAccuracyTable,b3_accuracy,FALSE)</f>
      </c>
      <c r="F819" s="55">
        <f>VLOOKUP(Exam_12,ScoringAccuracyTable,b3_accuracy,FALSE)</f>
      </c>
      <c r="G819" s="55">
        <f>VLOOKUP(Exam_12,ScoringAccuracyTable,b3_accuracy,FALSE)</f>
      </c>
    </row>
    <row r="820" spans="2:7" ht="13.5" customHeight="1">
      <c r="B820" s="241"/>
      <c r="C820" s="241"/>
      <c r="D820" s="241"/>
      <c r="E820" s="241"/>
      <c r="F820" s="241"/>
      <c r="G820" s="241"/>
    </row>
    <row r="821" spans="2:7" ht="13.5" customHeight="1">
      <c r="B821" s="52" t="s">
        <v>75</v>
      </c>
      <c r="C821" s="242" t="str">
        <f>BeerName4</f>
        <v>Style4</v>
      </c>
      <c r="D821" s="242"/>
      <c r="E821" s="242"/>
      <c r="F821" s="242"/>
      <c r="G821" s="242"/>
    </row>
    <row r="822" spans="2:7" ht="13.5" customHeight="1">
      <c r="B822" s="241"/>
      <c r="C822" s="241"/>
      <c r="D822" s="241"/>
      <c r="E822" s="241"/>
      <c r="F822" s="241"/>
      <c r="G822" s="241"/>
    </row>
    <row r="823" spans="2:7" ht="13.5" customHeight="1">
      <c r="B823" s="50" t="s">
        <v>68</v>
      </c>
      <c r="C823" s="54" t="s">
        <v>58</v>
      </c>
      <c r="D823" s="54" t="s">
        <v>59</v>
      </c>
      <c r="E823" s="54" t="s">
        <v>60</v>
      </c>
      <c r="F823" s="54" t="s">
        <v>61</v>
      </c>
      <c r="G823" s="54" t="s">
        <v>62</v>
      </c>
    </row>
    <row r="824" spans="2:7" ht="13.5" customHeight="1">
      <c r="B824" s="51" t="s">
        <v>63</v>
      </c>
      <c r="C824" s="55" t="e">
        <f>VLOOKUP(Exam_12,AverageScores,b4_perception,FALSE)</f>
        <v>#DIV/0!</v>
      </c>
      <c r="D824" s="55" t="e">
        <f>VLOOKUP(Exam_12,AverageScores,b4_perception,FALSE)</f>
        <v>#DIV/0!</v>
      </c>
      <c r="E824" s="55" t="e">
        <f>VLOOKUP(Exam_12,AverageScores,b4_perception,FALSE)</f>
        <v>#DIV/0!</v>
      </c>
      <c r="F824" s="55" t="e">
        <f>VLOOKUP(Exam_12,AverageScores,b4_perception,FALSE)</f>
        <v>#DIV/0!</v>
      </c>
      <c r="G824" s="55" t="e">
        <f>VLOOKUP(Exam_12,AverageScores,b4_perception,FALSE)</f>
        <v>#DIV/0!</v>
      </c>
    </row>
    <row r="825" spans="2:7" ht="13.5" customHeight="1">
      <c r="B825" s="51" t="s">
        <v>69</v>
      </c>
      <c r="C825" s="55" t="e">
        <f>VLOOKUP(Exam_12,AverageScores,b4_descriptive,FALSE)</f>
        <v>#DIV/0!</v>
      </c>
      <c r="D825" s="55" t="e">
        <f>VLOOKUP(Exam_12,AverageScores,b4_descriptive,FALSE)</f>
        <v>#DIV/0!</v>
      </c>
      <c r="E825" s="55" t="e">
        <f>VLOOKUP(Exam_12,AverageScores,b4_descriptive,FALSE)</f>
        <v>#DIV/0!</v>
      </c>
      <c r="F825" s="55" t="e">
        <f>VLOOKUP(Exam_12,AverageScores,b4_descriptive,FALSE)</f>
        <v>#DIV/0!</v>
      </c>
      <c r="G825" s="55" t="e">
        <f>VLOOKUP(Exam_12,AverageScores,b4_descriptive,FALSE)</f>
        <v>#DIV/0!</v>
      </c>
    </row>
    <row r="826" spans="2:7" ht="13.5" customHeight="1">
      <c r="B826" s="51" t="s">
        <v>64</v>
      </c>
      <c r="C826" s="55" t="e">
        <f>VLOOKUP(Exam_12,AverageScores,b4_feedback,FALSE)</f>
        <v>#DIV/0!</v>
      </c>
      <c r="D826" s="55" t="e">
        <f>VLOOKUP(Exam_12,AverageScores,b4_feedback,FALSE)</f>
        <v>#DIV/0!</v>
      </c>
      <c r="E826" s="55" t="e">
        <f>VLOOKUP(Exam_12,AverageScores,b4_feedback,FALSE)</f>
        <v>#DIV/0!</v>
      </c>
      <c r="F826" s="55" t="e">
        <f>VLOOKUP(Exam_12,AverageScores,b4_feedback,FALSE)</f>
        <v>#DIV/0!</v>
      </c>
      <c r="G826" s="55" t="e">
        <f>VLOOKUP(Exam_12,AverageScores,b4_feedback,FALSE)</f>
        <v>#DIV/0!</v>
      </c>
    </row>
    <row r="827" spans="2:7" ht="13.5" customHeight="1">
      <c r="B827" s="51" t="s">
        <v>65</v>
      </c>
      <c r="C827" s="55" t="e">
        <f>VLOOKUP(Exam_12,AverageScores,b4_completeness,FALSE)</f>
        <v>#DIV/0!</v>
      </c>
      <c r="D827" s="55" t="e">
        <f>VLOOKUP(Exam_12,AverageScores,b4_completeness,FALSE)</f>
        <v>#DIV/0!</v>
      </c>
      <c r="E827" s="55" t="e">
        <f>VLOOKUP(Exam_12,AverageScores,b4_completeness,FALSE)</f>
        <v>#DIV/0!</v>
      </c>
      <c r="F827" s="55" t="e">
        <f>VLOOKUP(Exam_12,AverageScores,b4_completeness,FALSE)</f>
        <v>#DIV/0!</v>
      </c>
      <c r="G827" s="55" t="e">
        <f>VLOOKUP(Exam_12,AverageScores,b4_completeness,FALSE)</f>
        <v>#DIV/0!</v>
      </c>
    </row>
    <row r="828" spans="2:7" ht="13.5" customHeight="1">
      <c r="B828" s="51" t="s">
        <v>66</v>
      </c>
      <c r="C828" s="55">
        <f>VLOOKUP(Exam_12,ScoringAccuracyTable,b4_accuracy,FALSE)</f>
      </c>
      <c r="D828" s="55">
        <f>VLOOKUP(Exam_12,ScoringAccuracyTable,b4_accuracy,FALSE)</f>
      </c>
      <c r="E828" s="55">
        <f>VLOOKUP(Exam_12,ScoringAccuracyTable,b4_accuracy,FALSE)</f>
      </c>
      <c r="F828" s="55">
        <f>VLOOKUP(Exam_12,ScoringAccuracyTable,b4_accuracy,FALSE)</f>
      </c>
      <c r="G828" s="55">
        <f>VLOOKUP(Exam_12,ScoringAccuracyTable,b4_accuracy,FALSE)</f>
      </c>
    </row>
    <row r="829" spans="2:7" ht="13.5" customHeight="1">
      <c r="B829" s="241"/>
      <c r="C829" s="241"/>
      <c r="D829" s="241"/>
      <c r="E829" s="241"/>
      <c r="F829" s="241"/>
      <c r="G829" s="241"/>
    </row>
    <row r="834" spans="2:7" ht="13.5" customHeight="1">
      <c r="B834" s="52" t="s">
        <v>74</v>
      </c>
      <c r="C834" s="242" t="str">
        <f>BeerName5</f>
        <v>Style5</v>
      </c>
      <c r="D834" s="242"/>
      <c r="E834" s="242"/>
      <c r="F834" s="242"/>
      <c r="G834" s="242"/>
    </row>
    <row r="835" spans="2:7" ht="13.5" customHeight="1">
      <c r="B835" s="241"/>
      <c r="C835" s="241"/>
      <c r="D835" s="241"/>
      <c r="E835" s="241"/>
      <c r="F835" s="241"/>
      <c r="G835" s="241"/>
    </row>
    <row r="836" spans="2:7" ht="13.5" customHeight="1">
      <c r="B836" s="50" t="s">
        <v>68</v>
      </c>
      <c r="C836" s="54" t="s">
        <v>58</v>
      </c>
      <c r="D836" s="54" t="s">
        <v>59</v>
      </c>
      <c r="E836" s="54" t="s">
        <v>60</v>
      </c>
      <c r="F836" s="54" t="s">
        <v>61</v>
      </c>
      <c r="G836" s="54" t="s">
        <v>62</v>
      </c>
    </row>
    <row r="837" spans="2:7" ht="13.5" customHeight="1">
      <c r="B837" s="51" t="s">
        <v>63</v>
      </c>
      <c r="C837" s="55" t="e">
        <f>VLOOKUP(Exam_12,AverageScores,b5_perception,FALSE)</f>
        <v>#DIV/0!</v>
      </c>
      <c r="D837" s="55" t="e">
        <f>VLOOKUP(Exam_12,AverageScores,b5_perception,FALSE)</f>
        <v>#DIV/0!</v>
      </c>
      <c r="E837" s="55" t="e">
        <f>VLOOKUP(Exam_12,AverageScores,b5_perception,FALSE)</f>
        <v>#DIV/0!</v>
      </c>
      <c r="F837" s="55" t="e">
        <f>VLOOKUP(Exam_12,AverageScores,b5_perception,FALSE)</f>
        <v>#DIV/0!</v>
      </c>
      <c r="G837" s="55" t="e">
        <f>VLOOKUP(Exam_12,AverageScores,b5_perception,FALSE)</f>
        <v>#DIV/0!</v>
      </c>
    </row>
    <row r="838" spans="2:7" ht="13.5" customHeight="1">
      <c r="B838" s="51" t="s">
        <v>69</v>
      </c>
      <c r="C838" s="55" t="e">
        <f>VLOOKUP(Exam_12,AverageScores,b5_descriptive,FALSE)</f>
        <v>#DIV/0!</v>
      </c>
      <c r="D838" s="55" t="e">
        <f>VLOOKUP(Exam_12,AverageScores,b5_descriptive,FALSE)</f>
        <v>#DIV/0!</v>
      </c>
      <c r="E838" s="55" t="e">
        <f>VLOOKUP(Exam_12,AverageScores,b5_descriptive,FALSE)</f>
        <v>#DIV/0!</v>
      </c>
      <c r="F838" s="55" t="e">
        <f>VLOOKUP(Exam_12,AverageScores,b5_descriptive,FALSE)</f>
        <v>#DIV/0!</v>
      </c>
      <c r="G838" s="55" t="e">
        <f>VLOOKUP(Exam_12,AverageScores,b5_descriptive,FALSE)</f>
        <v>#DIV/0!</v>
      </c>
    </row>
    <row r="839" spans="2:7" ht="13.5" customHeight="1">
      <c r="B839" s="51" t="s">
        <v>64</v>
      </c>
      <c r="C839" s="55" t="e">
        <f>VLOOKUP(Exam_12,AverageScores,b5_feedback,FALSE)</f>
        <v>#DIV/0!</v>
      </c>
      <c r="D839" s="55" t="e">
        <f>VLOOKUP(Exam_12,AverageScores,b5_feedback,FALSE)</f>
        <v>#DIV/0!</v>
      </c>
      <c r="E839" s="55" t="e">
        <f>VLOOKUP(Exam_12,AverageScores,b5_feedback,FALSE)</f>
        <v>#DIV/0!</v>
      </c>
      <c r="F839" s="55" t="e">
        <f>VLOOKUP(Exam_12,AverageScores,b5_feedback,FALSE)</f>
        <v>#DIV/0!</v>
      </c>
      <c r="G839" s="55" t="e">
        <f>VLOOKUP(Exam_12,AverageScores,b5_feedback,FALSE)</f>
        <v>#DIV/0!</v>
      </c>
    </row>
    <row r="840" spans="2:7" ht="13.5" customHeight="1">
      <c r="B840" s="51" t="s">
        <v>65</v>
      </c>
      <c r="C840" s="55" t="e">
        <f>VLOOKUP(Exam_12,AverageScores,b5_completeness,FALSE)</f>
        <v>#DIV/0!</v>
      </c>
      <c r="D840" s="55" t="e">
        <f>VLOOKUP(Exam_12,AverageScores,b5_completeness,FALSE)</f>
        <v>#DIV/0!</v>
      </c>
      <c r="E840" s="55" t="e">
        <f>VLOOKUP(Exam_12,AverageScores,b5_completeness,FALSE)</f>
        <v>#DIV/0!</v>
      </c>
      <c r="F840" s="55" t="e">
        <f>VLOOKUP(Exam_12,AverageScores,b5_completeness,FALSE)</f>
        <v>#DIV/0!</v>
      </c>
      <c r="G840" s="55" t="e">
        <f>VLOOKUP(Exam_12,AverageScores,b5_completeness,FALSE)</f>
        <v>#DIV/0!</v>
      </c>
    </row>
    <row r="841" spans="2:7" ht="13.5" customHeight="1">
      <c r="B841" s="51" t="s">
        <v>66</v>
      </c>
      <c r="C841" s="55">
        <f>VLOOKUP(Exam_12,ScoringAccuracyTable,b5_accuracy,FALSE)</f>
      </c>
      <c r="D841" s="55">
        <f>VLOOKUP(Exam_12,ScoringAccuracyTable,b5_accuracy,FALSE)</f>
      </c>
      <c r="E841" s="55">
        <f>VLOOKUP(Exam_12,ScoringAccuracyTable,b5_accuracy,FALSE)</f>
      </c>
      <c r="F841" s="55">
        <f>VLOOKUP(Exam_12,ScoringAccuracyTable,b5_accuracy,FALSE)</f>
      </c>
      <c r="G841" s="55">
        <f>VLOOKUP(Exam_12,ScoringAccuracyTable,b5_accuracy,FALSE)</f>
      </c>
    </row>
    <row r="842" spans="2:7" ht="13.5" customHeight="1">
      <c r="B842" s="241"/>
      <c r="C842" s="241"/>
      <c r="D842" s="241"/>
      <c r="E842" s="241"/>
      <c r="F842" s="241"/>
      <c r="G842" s="241"/>
    </row>
    <row r="843" spans="2:7" ht="13.5" customHeight="1">
      <c r="B843" s="52" t="s">
        <v>73</v>
      </c>
      <c r="C843" s="242" t="str">
        <f>BeerName6</f>
        <v>Style6</v>
      </c>
      <c r="D843" s="242"/>
      <c r="E843" s="242"/>
      <c r="F843" s="242"/>
      <c r="G843" s="242"/>
    </row>
    <row r="844" spans="2:7" ht="13.5" customHeight="1">
      <c r="B844" s="241"/>
      <c r="C844" s="241"/>
      <c r="D844" s="241"/>
      <c r="E844" s="241"/>
      <c r="F844" s="241"/>
      <c r="G844" s="241"/>
    </row>
    <row r="845" spans="2:7" ht="13.5" customHeight="1">
      <c r="B845" s="50" t="s">
        <v>68</v>
      </c>
      <c r="C845" s="54" t="s">
        <v>58</v>
      </c>
      <c r="D845" s="54" t="s">
        <v>59</v>
      </c>
      <c r="E845" s="54" t="s">
        <v>60</v>
      </c>
      <c r="F845" s="54" t="s">
        <v>61</v>
      </c>
      <c r="G845" s="54" t="s">
        <v>62</v>
      </c>
    </row>
    <row r="846" spans="2:7" ht="13.5" customHeight="1">
      <c r="B846" s="51" t="s">
        <v>63</v>
      </c>
      <c r="C846" s="55" t="e">
        <f>VLOOKUP(Exam_12,AverageScores,b6_perception,FALSE)</f>
        <v>#DIV/0!</v>
      </c>
      <c r="D846" s="55" t="e">
        <f>VLOOKUP(Exam_12,AverageScores,b6_perception,FALSE)</f>
        <v>#DIV/0!</v>
      </c>
      <c r="E846" s="55" t="e">
        <f>VLOOKUP(Exam_12,AverageScores,b6_perception,FALSE)</f>
        <v>#DIV/0!</v>
      </c>
      <c r="F846" s="55" t="e">
        <f>VLOOKUP(Exam_12,AverageScores,b6_perception,FALSE)</f>
        <v>#DIV/0!</v>
      </c>
      <c r="G846" s="55" t="e">
        <f>VLOOKUP(Exam_12,AverageScores,b6_perception,FALSE)</f>
        <v>#DIV/0!</v>
      </c>
    </row>
    <row r="847" spans="2:7" ht="13.5" customHeight="1">
      <c r="B847" s="51" t="s">
        <v>69</v>
      </c>
      <c r="C847" s="55" t="e">
        <f>VLOOKUP(Exam_12,AverageScores,b6_descriptive,FALSE)</f>
        <v>#DIV/0!</v>
      </c>
      <c r="D847" s="55" t="e">
        <f>VLOOKUP(Exam_12,AverageScores,b6_descriptive,FALSE)</f>
        <v>#DIV/0!</v>
      </c>
      <c r="E847" s="55" t="e">
        <f>VLOOKUP(Exam_12,AverageScores,b6_descriptive,FALSE)</f>
        <v>#DIV/0!</v>
      </c>
      <c r="F847" s="55" t="e">
        <f>VLOOKUP(Exam_12,AverageScores,b6_descriptive,FALSE)</f>
        <v>#DIV/0!</v>
      </c>
      <c r="G847" s="55" t="e">
        <f>VLOOKUP(Exam_12,AverageScores,b6_descriptive,FALSE)</f>
        <v>#DIV/0!</v>
      </c>
    </row>
    <row r="848" spans="2:7" ht="13.5" customHeight="1">
      <c r="B848" s="51" t="s">
        <v>64</v>
      </c>
      <c r="C848" s="55" t="e">
        <f>VLOOKUP(Exam_12,AverageScores,b6_feedback,FALSE)</f>
        <v>#DIV/0!</v>
      </c>
      <c r="D848" s="55" t="e">
        <f>VLOOKUP(Exam_12,AverageScores,b6_feedback,FALSE)</f>
        <v>#DIV/0!</v>
      </c>
      <c r="E848" s="55" t="e">
        <f>VLOOKUP(Exam_12,AverageScores,b6_feedback,FALSE)</f>
        <v>#DIV/0!</v>
      </c>
      <c r="F848" s="55" t="e">
        <f>VLOOKUP(Exam_12,AverageScores,b6_feedback,FALSE)</f>
        <v>#DIV/0!</v>
      </c>
      <c r="G848" s="55" t="e">
        <f>VLOOKUP(Exam_12,AverageScores,b6_feedback,FALSE)</f>
        <v>#DIV/0!</v>
      </c>
    </row>
    <row r="849" spans="2:7" ht="13.5" customHeight="1">
      <c r="B849" s="51" t="s">
        <v>65</v>
      </c>
      <c r="C849" s="55" t="e">
        <f>VLOOKUP(Exam_12,AverageScores,b6_completeness,FALSE)</f>
        <v>#DIV/0!</v>
      </c>
      <c r="D849" s="55" t="e">
        <f>VLOOKUP(Exam_12,AverageScores,b6_completeness,FALSE)</f>
        <v>#DIV/0!</v>
      </c>
      <c r="E849" s="55" t="e">
        <f>VLOOKUP(Exam_12,AverageScores,b6_completeness,FALSE)</f>
        <v>#DIV/0!</v>
      </c>
      <c r="F849" s="55" t="e">
        <f>VLOOKUP(Exam_12,AverageScores,b6_completeness,FALSE)</f>
        <v>#DIV/0!</v>
      </c>
      <c r="G849" s="55" t="e">
        <f>VLOOKUP(Exam_12,AverageScores,b6_completeness,FALSE)</f>
        <v>#DIV/0!</v>
      </c>
    </row>
    <row r="850" spans="2:7" ht="13.5" customHeight="1">
      <c r="B850" s="51" t="s">
        <v>66</v>
      </c>
      <c r="C850" s="55">
        <f>VLOOKUP(Exam_12,ScoringAccuracyTable,b6_accuracy,FALSE)</f>
      </c>
      <c r="D850" s="55">
        <f>VLOOKUP(Exam_12,ScoringAccuracyTable,b6_accuracy,FALSE)</f>
      </c>
      <c r="E850" s="55">
        <f>VLOOKUP(Exam_12,ScoringAccuracyTable,b6_accuracy,FALSE)</f>
      </c>
      <c r="F850" s="55">
        <f>VLOOKUP(Exam_12,ScoringAccuracyTable,b6_accuracy,FALSE)</f>
      </c>
      <c r="G850" s="55">
        <f>VLOOKUP(Exam_12,ScoringAccuracyTable,b6_accuracy,FALSE)</f>
      </c>
    </row>
  </sheetData>
  <sheetProtection/>
  <mergeCells count="264">
    <mergeCell ref="B829:G829"/>
    <mergeCell ref="C834:G834"/>
    <mergeCell ref="B844:G844"/>
    <mergeCell ref="B835:G835"/>
    <mergeCell ref="B842:G842"/>
    <mergeCell ref="C843:G843"/>
    <mergeCell ref="B811:G811"/>
    <mergeCell ref="C812:G812"/>
    <mergeCell ref="B813:G813"/>
    <mergeCell ref="B820:G820"/>
    <mergeCell ref="C821:G821"/>
    <mergeCell ref="B822:G822"/>
    <mergeCell ref="B793:G793"/>
    <mergeCell ref="C794:G794"/>
    <mergeCell ref="B795:G795"/>
    <mergeCell ref="B802:G802"/>
    <mergeCell ref="C803:G803"/>
    <mergeCell ref="B804:G804"/>
    <mergeCell ref="C772:G772"/>
    <mergeCell ref="B773:G773"/>
    <mergeCell ref="B782:G782"/>
    <mergeCell ref="B783:G783"/>
    <mergeCell ref="B790:G790"/>
    <mergeCell ref="B792:G792"/>
    <mergeCell ref="C750:G750"/>
    <mergeCell ref="B751:G751"/>
    <mergeCell ref="B758:G758"/>
    <mergeCell ref="C763:G763"/>
    <mergeCell ref="B764:G764"/>
    <mergeCell ref="B771:G771"/>
    <mergeCell ref="C732:G732"/>
    <mergeCell ref="B733:G733"/>
    <mergeCell ref="B740:G740"/>
    <mergeCell ref="C741:G741"/>
    <mergeCell ref="B742:G742"/>
    <mergeCell ref="B749:G749"/>
    <mergeCell ref="B719:G719"/>
    <mergeCell ref="B721:G721"/>
    <mergeCell ref="B722:G722"/>
    <mergeCell ref="C723:G723"/>
    <mergeCell ref="B724:G724"/>
    <mergeCell ref="B731:G731"/>
    <mergeCell ref="B693:G693"/>
    <mergeCell ref="B700:G700"/>
    <mergeCell ref="C701:G701"/>
    <mergeCell ref="B702:G702"/>
    <mergeCell ref="B711:G711"/>
    <mergeCell ref="B712:G712"/>
    <mergeCell ref="B671:G671"/>
    <mergeCell ref="B678:G678"/>
    <mergeCell ref="C679:G679"/>
    <mergeCell ref="B680:G680"/>
    <mergeCell ref="B687:G687"/>
    <mergeCell ref="C692:G692"/>
    <mergeCell ref="B653:G653"/>
    <mergeCell ref="B660:G660"/>
    <mergeCell ref="C661:G661"/>
    <mergeCell ref="B662:G662"/>
    <mergeCell ref="B669:G669"/>
    <mergeCell ref="C670:G670"/>
    <mergeCell ref="B640:G640"/>
    <mergeCell ref="B641:G641"/>
    <mergeCell ref="B648:G648"/>
    <mergeCell ref="B650:G650"/>
    <mergeCell ref="B651:G651"/>
    <mergeCell ref="C652:G652"/>
    <mergeCell ref="B616:G616"/>
    <mergeCell ref="C621:G621"/>
    <mergeCell ref="B622:G622"/>
    <mergeCell ref="B629:G629"/>
    <mergeCell ref="C630:G630"/>
    <mergeCell ref="B631:G631"/>
    <mergeCell ref="B598:G598"/>
    <mergeCell ref="C599:G599"/>
    <mergeCell ref="B600:G600"/>
    <mergeCell ref="B607:G607"/>
    <mergeCell ref="C608:G608"/>
    <mergeCell ref="B609:G609"/>
    <mergeCell ref="B580:G580"/>
    <mergeCell ref="C581:G581"/>
    <mergeCell ref="B582:G582"/>
    <mergeCell ref="B589:G589"/>
    <mergeCell ref="C590:G590"/>
    <mergeCell ref="B591:G591"/>
    <mergeCell ref="C559:G559"/>
    <mergeCell ref="B560:G560"/>
    <mergeCell ref="B569:G569"/>
    <mergeCell ref="B570:G570"/>
    <mergeCell ref="B577:G577"/>
    <mergeCell ref="B579:G579"/>
    <mergeCell ref="C537:G537"/>
    <mergeCell ref="B538:G538"/>
    <mergeCell ref="B545:G545"/>
    <mergeCell ref="C550:G550"/>
    <mergeCell ref="B551:G551"/>
    <mergeCell ref="B558:G558"/>
    <mergeCell ref="C519:G519"/>
    <mergeCell ref="B520:G520"/>
    <mergeCell ref="B527:G527"/>
    <mergeCell ref="C528:G528"/>
    <mergeCell ref="B529:G529"/>
    <mergeCell ref="B536:G536"/>
    <mergeCell ref="B506:G506"/>
    <mergeCell ref="B508:G508"/>
    <mergeCell ref="B509:G509"/>
    <mergeCell ref="C510:G510"/>
    <mergeCell ref="B511:G511"/>
    <mergeCell ref="B518:G518"/>
    <mergeCell ref="B480:G480"/>
    <mergeCell ref="B487:G487"/>
    <mergeCell ref="C488:G488"/>
    <mergeCell ref="B489:G489"/>
    <mergeCell ref="B498:G498"/>
    <mergeCell ref="B499:G499"/>
    <mergeCell ref="B458:G458"/>
    <mergeCell ref="B465:G465"/>
    <mergeCell ref="C466:G466"/>
    <mergeCell ref="B467:G467"/>
    <mergeCell ref="B474:G474"/>
    <mergeCell ref="C479:G479"/>
    <mergeCell ref="B440:G440"/>
    <mergeCell ref="B447:G447"/>
    <mergeCell ref="C448:G448"/>
    <mergeCell ref="B449:G449"/>
    <mergeCell ref="B456:G456"/>
    <mergeCell ref="C457:G457"/>
    <mergeCell ref="B427:G427"/>
    <mergeCell ref="B428:G428"/>
    <mergeCell ref="B435:G435"/>
    <mergeCell ref="B437:G437"/>
    <mergeCell ref="B438:G438"/>
    <mergeCell ref="C439:G439"/>
    <mergeCell ref="B403:G403"/>
    <mergeCell ref="C408:G408"/>
    <mergeCell ref="B409:G409"/>
    <mergeCell ref="B416:G416"/>
    <mergeCell ref="C417:G417"/>
    <mergeCell ref="B418:G418"/>
    <mergeCell ref="B385:G385"/>
    <mergeCell ref="C386:G386"/>
    <mergeCell ref="B387:G387"/>
    <mergeCell ref="B394:G394"/>
    <mergeCell ref="C395:G395"/>
    <mergeCell ref="B396:G396"/>
    <mergeCell ref="B367:G367"/>
    <mergeCell ref="C368:G368"/>
    <mergeCell ref="B369:G369"/>
    <mergeCell ref="B376:G376"/>
    <mergeCell ref="C377:G377"/>
    <mergeCell ref="B378:G378"/>
    <mergeCell ref="C346:G346"/>
    <mergeCell ref="B347:G347"/>
    <mergeCell ref="B356:G356"/>
    <mergeCell ref="B357:G357"/>
    <mergeCell ref="B364:G364"/>
    <mergeCell ref="B366:G366"/>
    <mergeCell ref="C324:G324"/>
    <mergeCell ref="B325:G325"/>
    <mergeCell ref="B332:G332"/>
    <mergeCell ref="C337:G337"/>
    <mergeCell ref="B338:G338"/>
    <mergeCell ref="B345:G345"/>
    <mergeCell ref="C306:G306"/>
    <mergeCell ref="B307:G307"/>
    <mergeCell ref="B314:G314"/>
    <mergeCell ref="C315:G315"/>
    <mergeCell ref="B316:G316"/>
    <mergeCell ref="B323:G323"/>
    <mergeCell ref="B293:G293"/>
    <mergeCell ref="B295:G295"/>
    <mergeCell ref="B296:G296"/>
    <mergeCell ref="C297:G297"/>
    <mergeCell ref="B298:G298"/>
    <mergeCell ref="B305:G305"/>
    <mergeCell ref="B267:G267"/>
    <mergeCell ref="B274:G274"/>
    <mergeCell ref="C275:G275"/>
    <mergeCell ref="B276:G276"/>
    <mergeCell ref="B285:G285"/>
    <mergeCell ref="B286:G286"/>
    <mergeCell ref="B245:G245"/>
    <mergeCell ref="B252:G252"/>
    <mergeCell ref="C253:G253"/>
    <mergeCell ref="B254:G254"/>
    <mergeCell ref="B261:G261"/>
    <mergeCell ref="C266:G266"/>
    <mergeCell ref="B227:G227"/>
    <mergeCell ref="B234:G234"/>
    <mergeCell ref="C235:G235"/>
    <mergeCell ref="B236:G236"/>
    <mergeCell ref="B243:G243"/>
    <mergeCell ref="C244:G244"/>
    <mergeCell ref="B214:G214"/>
    <mergeCell ref="B215:G215"/>
    <mergeCell ref="B222:G222"/>
    <mergeCell ref="B224:G224"/>
    <mergeCell ref="B225:G225"/>
    <mergeCell ref="C226:G226"/>
    <mergeCell ref="B190:G190"/>
    <mergeCell ref="C195:G195"/>
    <mergeCell ref="B196:G196"/>
    <mergeCell ref="B203:G203"/>
    <mergeCell ref="C204:G204"/>
    <mergeCell ref="B205:G205"/>
    <mergeCell ref="B172:G172"/>
    <mergeCell ref="C173:G173"/>
    <mergeCell ref="B174:G174"/>
    <mergeCell ref="B181:G181"/>
    <mergeCell ref="C182:G182"/>
    <mergeCell ref="B183:G183"/>
    <mergeCell ref="B154:G154"/>
    <mergeCell ref="C155:G155"/>
    <mergeCell ref="B156:G156"/>
    <mergeCell ref="B163:G163"/>
    <mergeCell ref="C164:G164"/>
    <mergeCell ref="B165:G165"/>
    <mergeCell ref="C133:G133"/>
    <mergeCell ref="B134:G134"/>
    <mergeCell ref="B143:G143"/>
    <mergeCell ref="B144:G144"/>
    <mergeCell ref="B152:G152"/>
    <mergeCell ref="B153:G153"/>
    <mergeCell ref="C111:G111"/>
    <mergeCell ref="B112:G112"/>
    <mergeCell ref="B119:G119"/>
    <mergeCell ref="C124:G124"/>
    <mergeCell ref="B125:G125"/>
    <mergeCell ref="B132:G132"/>
    <mergeCell ref="C93:G93"/>
    <mergeCell ref="B94:G94"/>
    <mergeCell ref="B101:G101"/>
    <mergeCell ref="C102:G102"/>
    <mergeCell ref="B103:G103"/>
    <mergeCell ref="B110:G110"/>
    <mergeCell ref="B81:G81"/>
    <mergeCell ref="B82:G82"/>
    <mergeCell ref="B83:G83"/>
    <mergeCell ref="C84:G84"/>
    <mergeCell ref="B85:G85"/>
    <mergeCell ref="B92:G92"/>
    <mergeCell ref="B72:G72"/>
    <mergeCell ref="B73:G73"/>
    <mergeCell ref="B23:G23"/>
    <mergeCell ref="B30:G30"/>
    <mergeCell ref="C31:G31"/>
    <mergeCell ref="B14:G14"/>
    <mergeCell ref="B21:G21"/>
    <mergeCell ref="C22:G22"/>
    <mergeCell ref="B32:G32"/>
    <mergeCell ref="B39:G39"/>
    <mergeCell ref="C40:G40"/>
    <mergeCell ref="B1:G1"/>
    <mergeCell ref="B2:G2"/>
    <mergeCell ref="B10:G10"/>
    <mergeCell ref="B11:G11"/>
    <mergeCell ref="B12:G12"/>
    <mergeCell ref="C13:G13"/>
    <mergeCell ref="B63:G63"/>
    <mergeCell ref="B54:G54"/>
    <mergeCell ref="B61:G61"/>
    <mergeCell ref="C62:G62"/>
    <mergeCell ref="B41:G41"/>
    <mergeCell ref="B48:G48"/>
    <mergeCell ref="C53:G53"/>
  </mergeCells>
  <conditionalFormatting sqref="D16:D20 D4:D9 D25:D29 D34:D38 D43:D47 D56:D60 D65:D69 D75:D80 D87:D91 D96:D100 D105:D109 D114:D118 D127:D131 D136:D140 D146:D151 D158:D162 D167:D171 D176:D180 D185:D189 D198:D202 D207:D211 D217:D221 D229:D233 D238:D242 D247:D251 D256:D260 D269:D273 D278:D282 D288:D292 D300:D304 D309:D313 D318:D322 D327:D331 D340:D344 D349:D353 D359:D363 D371:D375 D380:D384 D389:D393 D398:D402 D411:D415 D420:D424 D430:D434 D442:D446 D451:D455 D460:D464 D469:D473 D482:D486 D491:D495 D501:D505 D513:D517 D522:D526 D531:D535 D540:D544 D553:D557 D562:D566 D572:D576 D584:D588 D593:D597 D602:D606 D611:D615 D624:D628 D633:D637 D643:D647 D655:D659 D664:D668 D673:D677 D682:D686 D695:D699 D704:D708 D714:D718 D726:D730 D735:D739 D744:D748 D753:D757 D766:D770 D775:D779 D785:D789 D797:D801 D806:D810 D815:D819 D824:D828 D837:D841">
    <cfRule type="cellIs" priority="1323" dxfId="727" operator="between">
      <formula>15.4</formula>
      <formula>17.9</formula>
    </cfRule>
  </conditionalFormatting>
  <conditionalFormatting sqref="E16:E20 E4:E9 E25:E29 E34:E38 E43:E47 E56:E60 E65:E69 E75:E80 E87:E91 E96:E100 E105:E109 E114:E118 E127:E131 E136:E140 E146:E151 E158:E162 E167:E171 E176:E180 E185:E189 E198:E202 E207:E211 E217:E221 E229:E233 E238:E242 E247:E251 E256:E260 E269:E273 E278:E282 E288:E292 E300:E304 E309:E313 E318:E322 E327:E331 E340:E344 E349:E353 E359:E363 E371:E375 E380:E384 E389:E393 E398:E402 E411:E415 E420:E424 E430:E434 E442:E446 E451:E455 E460:E464 E469:E473 E482:E486 E491:E495 E501:E505 E513:E517 E522:E526 E531:E535 E540:E544 E553:E557 E562:E566 E572:E576 E584:E588 E593:E597 E602:E606 E611:E615 E624:E628 E633:E637 E643:E647 E655:E659 E664:E668 E673:E677 E682:E686 E695:E699 E704:E708 E714:E718 E726:E730 E735:E739 E744:E748 E753:E757 E766:E770 E775:E779 E785:E789 E797:E801 E806:E810 E815:E819 E824:E828 E837:E841">
    <cfRule type="cellIs" priority="1322" dxfId="727" operator="between">
      <formula>13.4</formula>
      <formula>15.9</formula>
    </cfRule>
  </conditionalFormatting>
  <conditionalFormatting sqref="F16:F20 F4:F9 F25:F29 F34:F38 F43:F47 F56:F60 F65:F69 F75:F80 F87:F91 F96:F100 F105:F109 F114:F118 F127:F131 F136:F140 F146:F151 F158:F162 F167:F171 F176:F180 F185:F189 F198:F202 F207:F211 F217:F221 F229:F233 F238:F242 F247:F251 F256:F260 F269:F273 F278:F282 F288:F292 F300:F304 F309:F313 F318:F322 F327:F331 F340:F344 F349:F353 F359:F363 F371:F375 F380:F384 F389:F393 F398:F402 F411:F415 F420:F424 F430:F434 F442:F446 F451:F455 F460:F464 F469:F473 F482:F486 F491:F495 F501:F505 F513:F517 F522:F526 F531:F535 F540:F544 F553:F557 F562:F566 F572:F576 F584:F588 F593:F597 F602:F606 F611:F615 F624:F628 F633:F637 F643:F647 F655:F659 F664:F668 F673:F677 F682:F686 F695:F699 F704:F708 F714:F718 F726:F730 F735:F739 F744:F748 F753:F757 F766:F770 F775:F779 F785:F789 F797:F801 F806:F810 F815:F819 F824:F828 F837:F841">
    <cfRule type="cellIs" priority="1321" dxfId="727" operator="between">
      <formula>11.4</formula>
      <formula>13.9</formula>
    </cfRule>
  </conditionalFormatting>
  <conditionalFormatting sqref="G16:G20 G4:G8 G25:G29 G34:G38 G43:G47 G56:G60 G65:G69 G75:G79 G87:G91 G96:G100 G105:G109 G114:G118 G127:G131 G136:G140 G146:G150 G158:G162 G167:G171 G176:G180 G185:G189 G198:G202 G207:G211 G217:G221 G229:G233 G238:G242 G247:G251 G256:G260 G269:G273 G278:G282 G288:G292 G300:G304 G309:G313 G318:G322 G327:G331 G340:G344 G349:G353 G359:G363 G371:G375 G380:G384 G389:G393 G398:G402 G411:G415 G420:G424 G430:G434 G442:G446 G451:G455 G460:G464 G469:G473 G482:G486 G491:G495 G501:G505 G513:G517 G522:G526 G531:G535 G540:G544 G553:G557 G562:G566 G572:G576 G584:G588 G593:G597 G602:G606 G611:G615 G624:G628 G633:G637 G643:G647 G655:G659 G664:G668 G673:G677 G682:G686 G695:G699 G704:G708 G714:G718 G726:G730 G735:G739 G744:G748 G753:G757 G766:G770 G775:G779 G785:G789 G797:G801 G806:G810 G815:G819 G824:G828 G837:G841">
    <cfRule type="cellIs" priority="1320" dxfId="727" operator="lessThan">
      <formula>12</formula>
    </cfRule>
  </conditionalFormatting>
  <conditionalFormatting sqref="C25:C28 C16 C34:C38 C43:C47 C56:C60 C65:C69 C87 C96:C99 C105:C109 C114:C118 C127:C131 C136:C140 C158 C167:C170 C176:C180 C185:C189 C198:C202 C207:C211 C229 C238:C241 C247:C251 C256:C260 C269:C273 C278:C282 C300 C309:C312 C318:C322 C327:C331 C340:C344 C349:C353 C371 C380:C383 C389:C393 C398:C402 C411:C415 C420:C424 C442 C451:C454 C460:C464 C469:C473 C482:C486 C491:C495 C513 C522:C525 C531:C535 C540:C544 C553:C557 C562:C566 C584 C593:C596 C602:C606 C611:C615 C624:C628 C633:C637 C655 C664:C667 C673:C677 C682:C686 C695:C699 C704:C708 C726 C735:C738 C744:C748 C753:C757 C766:C770 C775:C779 C797 C806:C809 C815:C819 C824:C828 C837:C841">
    <cfRule type="cellIs" priority="1319" dxfId="727" operator="greaterThanOrEqual">
      <formula>17.4</formula>
    </cfRule>
  </conditionalFormatting>
  <conditionalFormatting sqref="C4:C9 C17:C20 C29 C75:C80 C88:C91 C100 C146:C151 C159:C162 C171 C217:C221 C230:C233 C242 C288:C292 C301:C304 C313 C359:C363 C372:C375 C384 C430:C434 C443:C446 C455 C501:C505 C514:C517 C526 C572:C576 C585:C588 C597 C643:C647 C656:C659 C668 C714:C718 C727:C730 C739 C785:C789 C798:C801 C810">
    <cfRule type="cellIs" priority="1252" dxfId="728" operator="greaterThanOrEqual" stopIfTrue="1">
      <formula>17.4</formula>
    </cfRule>
  </conditionalFormatting>
  <conditionalFormatting sqref="C846:C850">
    <cfRule type="cellIs" priority="46" dxfId="727" operator="greaterThanOrEqual">
      <formula>17.4</formula>
    </cfRule>
  </conditionalFormatting>
  <conditionalFormatting sqref="D846:D850">
    <cfRule type="cellIs" priority="45" dxfId="727" operator="between">
      <formula>15.4</formula>
      <formula>17.9</formula>
    </cfRule>
  </conditionalFormatting>
  <conditionalFormatting sqref="E846:E850">
    <cfRule type="cellIs" priority="44" dxfId="727" operator="between">
      <formula>13.4</formula>
      <formula>15.9</formula>
    </cfRule>
  </conditionalFormatting>
  <conditionalFormatting sqref="F846:F850">
    <cfRule type="cellIs" priority="43" dxfId="727" operator="between">
      <formula>11.4</formula>
      <formula>13.9</formula>
    </cfRule>
  </conditionalFormatting>
  <conditionalFormatting sqref="G846:G850">
    <cfRule type="cellIs" priority="42" dxfId="727" operator="lessThan">
      <formula>12</formula>
    </cfRule>
  </conditionalFormatting>
  <printOptions/>
  <pageMargins left="0.75" right="0.75" top="1" bottom="1" header="0.5" footer="0.5"/>
  <pageSetup orientation="portrait" r:id="rId1"/>
</worksheet>
</file>

<file path=xl/worksheets/sheet9.xml><?xml version="1.0" encoding="utf-8"?>
<worksheet xmlns="http://schemas.openxmlformats.org/spreadsheetml/2006/main" xmlns:r="http://schemas.openxmlformats.org/officeDocument/2006/relationships">
  <dimension ref="A1:G848"/>
  <sheetViews>
    <sheetView zoomScalePageLayoutView="0" workbookViewId="0" topLeftCell="A61">
      <selection activeCell="L18" sqref="L18"/>
    </sheetView>
  </sheetViews>
  <sheetFormatPr defaultColWidth="11.00390625" defaultRowHeight="13.5" customHeight="1"/>
  <cols>
    <col min="1" max="1" width="11.00390625" style="80" customWidth="1"/>
    <col min="2" max="2" width="19.375" style="80" customWidth="1"/>
    <col min="3" max="16384" width="11.00390625" style="80" customWidth="1"/>
  </cols>
  <sheetData>
    <row r="1" spans="1:7" ht="13.5" customHeight="1">
      <c r="A1" s="131" t="s">
        <v>18</v>
      </c>
      <c r="B1" s="243" t="s">
        <v>70</v>
      </c>
      <c r="C1" s="243"/>
      <c r="D1" s="243"/>
      <c r="E1" s="243"/>
      <c r="F1" s="243"/>
      <c r="G1" s="243"/>
    </row>
    <row r="2" spans="1:7" ht="13.5" customHeight="1">
      <c r="A2" s="132">
        <f>Exam_13</f>
        <v>13</v>
      </c>
      <c r="B2" s="244"/>
      <c r="C2" s="244"/>
      <c r="D2" s="244"/>
      <c r="E2" s="244"/>
      <c r="F2" s="244"/>
      <c r="G2" s="244"/>
    </row>
    <row r="3" spans="2:7" ht="13.5" customHeight="1">
      <c r="B3" s="50" t="s">
        <v>68</v>
      </c>
      <c r="C3" s="54" t="s">
        <v>58</v>
      </c>
      <c r="D3" s="54" t="s">
        <v>59</v>
      </c>
      <c r="E3" s="54" t="s">
        <v>60</v>
      </c>
      <c r="F3" s="54" t="s">
        <v>61</v>
      </c>
      <c r="G3" s="54" t="s">
        <v>62</v>
      </c>
    </row>
    <row r="4" spans="2:7" ht="13.5" customHeight="1">
      <c r="B4" s="51" t="s">
        <v>63</v>
      </c>
      <c r="C4" s="55" t="e">
        <f>0.2*AVERAGE(VLOOKUP(Exam_13,Sum_Accuracy,9,FALSE),VLOOKUP(Exam_13,Sum_Accuracy,10,FALSE))</f>
        <v>#VALUE!</v>
      </c>
      <c r="D4" s="55" t="e">
        <f>0.2*AVERAGE(VLOOKUP(Exam_13,Sum_Accuracy,9,FALSE),VLOOKUP(Exam_13,Sum_Accuracy,10,FALSE))</f>
        <v>#VALUE!</v>
      </c>
      <c r="E4" s="55" t="e">
        <f>0.2*AVERAGE(VLOOKUP(Exam_13,Sum_Accuracy,9,FALSE),VLOOKUP(Exam_13,Sum_Accuracy,10,FALSE))</f>
        <v>#VALUE!</v>
      </c>
      <c r="F4" s="55" t="e">
        <f>0.2*AVERAGE(VLOOKUP(Exam_13,Sum_Accuracy,9,FALSE),VLOOKUP(Exam_13,Sum_Accuracy,10,FALSE))</f>
        <v>#VALUE!</v>
      </c>
      <c r="G4" s="55" t="e">
        <f>0.2*AVERAGE(VLOOKUP(Exam_13,Sum_Accuracy,9,FALSE),VLOOKUP(Exam_13,Sum_Accuracy,10,FALSE))</f>
        <v>#VALUE!</v>
      </c>
    </row>
    <row r="5" spans="2:7" ht="13.5" customHeight="1">
      <c r="B5" s="51" t="s">
        <v>69</v>
      </c>
      <c r="C5" s="55" t="e">
        <f>0.2*AVERAGE(VLOOKUP(Exam_13,Sum_Accuracy,11,FALSE),VLOOKUP(Exam_13,Sum_Accuracy,12,FALSE))</f>
        <v>#VALUE!</v>
      </c>
      <c r="D5" s="55" t="e">
        <f>0.2*AVERAGE(VLOOKUP(Exam_13,Sum_Accuracy,11,FALSE),VLOOKUP(Exam_13,Sum_Accuracy,12,FALSE))</f>
        <v>#VALUE!</v>
      </c>
      <c r="E5" s="55" t="e">
        <f>0.2*AVERAGE(VLOOKUP(Exam_13,Sum_Accuracy,11,FALSE),VLOOKUP(Exam_13,Sum_Accuracy,12,FALSE))</f>
        <v>#VALUE!</v>
      </c>
      <c r="F5" s="55" t="e">
        <f>0.2*AVERAGE(VLOOKUP(Exam_13,Sum_Accuracy,11,FALSE),VLOOKUP(Exam_13,Sum_Accuracy,12,FALSE))</f>
        <v>#VALUE!</v>
      </c>
      <c r="G5" s="55" t="e">
        <f>0.2*AVERAGE(VLOOKUP(Exam_13,Sum_Accuracy,11,FALSE),VLOOKUP(Exam_13,Sum_Accuracy,12,FALSE))</f>
        <v>#VALUE!</v>
      </c>
    </row>
    <row r="6" spans="2:7" ht="13.5" customHeight="1">
      <c r="B6" s="51" t="s">
        <v>64</v>
      </c>
      <c r="C6" s="55" t="e">
        <f>0.2*AVERAGE(VLOOKUP(Exam_13,Sum_Accuracy,13,FALSE),VLOOKUP(Exam_13,Sum_Accuracy,14,FALSE))</f>
        <v>#VALUE!</v>
      </c>
      <c r="D6" s="55" t="e">
        <f>0.2*AVERAGE(VLOOKUP(Exam_13,Sum_Accuracy,13,FALSE),VLOOKUP(Exam_13,Sum_Accuracy,14,FALSE))</f>
        <v>#VALUE!</v>
      </c>
      <c r="E6" s="55" t="e">
        <f>0.2*AVERAGE(VLOOKUP(Exam_13,Sum_Accuracy,13,FALSE),VLOOKUP(Exam_13,Sum_Accuracy,14,FALSE))</f>
        <v>#VALUE!</v>
      </c>
      <c r="F6" s="55" t="e">
        <f>0.2*AVERAGE(VLOOKUP(Exam_13,Sum_Accuracy,13,FALSE),VLOOKUP(Exam_13,Sum_Accuracy,14,FALSE))</f>
        <v>#VALUE!</v>
      </c>
      <c r="G6" s="55" t="e">
        <f>0.2*AVERAGE(VLOOKUP(Exam_13,Sum_Accuracy,13,FALSE),VLOOKUP(Exam_13,Sum_Accuracy,14,FALSE))</f>
        <v>#VALUE!</v>
      </c>
    </row>
    <row r="7" spans="2:7" ht="13.5" customHeight="1">
      <c r="B7" s="51" t="s">
        <v>65</v>
      </c>
      <c r="C7" s="55" t="e">
        <f>0.2*AVERAGE(VLOOKUP(Exam_13,Sum_Accuracy,15,FALSE),VLOOKUP(Exam_13,Sum_Accuracy,16,FALSE))</f>
        <v>#VALUE!</v>
      </c>
      <c r="D7" s="55" t="e">
        <f>0.2*AVERAGE(VLOOKUP(Exam_13,Sum_Accuracy,15,FALSE),VLOOKUP(Exam_13,Sum_Accuracy,16,FALSE))</f>
        <v>#VALUE!</v>
      </c>
      <c r="E7" s="55" t="e">
        <f>0.2*AVERAGE(VLOOKUP(Exam_13,Sum_Accuracy,15,FALSE),VLOOKUP(Exam_13,Sum_Accuracy,16,FALSE))</f>
        <v>#VALUE!</v>
      </c>
      <c r="F7" s="55" t="e">
        <f>0.2*AVERAGE(VLOOKUP(Exam_13,Sum_Accuracy,15,FALSE),VLOOKUP(Exam_13,Sum_Accuracy,16,FALSE))</f>
        <v>#VALUE!</v>
      </c>
      <c r="G7" s="55" t="e">
        <f>0.2*AVERAGE(VLOOKUP(Exam_13,Sum_Accuracy,15,FALSE),VLOOKUP(Exam_13,Sum_Accuracy,16,FALSE))</f>
        <v>#VALUE!</v>
      </c>
    </row>
    <row r="8" spans="2:7" ht="13.5" customHeight="1">
      <c r="B8" s="51" t="s">
        <v>66</v>
      </c>
      <c r="C8" s="55" t="e">
        <f>VLOOKUP(Exam_13,Sum_Accuracy,8,FALSE)/5</f>
        <v>#VALUE!</v>
      </c>
      <c r="D8" s="55" t="e">
        <f>VLOOKUP(Exam_13,Sum_Accuracy,8,FALSE)/5</f>
        <v>#VALUE!</v>
      </c>
      <c r="E8" s="55" t="e">
        <f>VLOOKUP(Exam_13,Sum_Accuracy,8,FALSE)/5</f>
        <v>#VALUE!</v>
      </c>
      <c r="F8" s="55" t="e">
        <f>VLOOKUP(Exam_13,Sum_Accuracy,8,FALSE)/5</f>
        <v>#VALUE!</v>
      </c>
      <c r="G8" s="55" t="e">
        <f>VLOOKUP(Exam_13,Sum_Accuracy,8,FALSE)/5</f>
        <v>#VALUE!</v>
      </c>
    </row>
    <row r="9" spans="2:6" ht="13.5" customHeight="1">
      <c r="B9" s="146"/>
      <c r="C9" s="147"/>
      <c r="D9" s="147"/>
      <c r="E9" s="147"/>
      <c r="F9" s="147"/>
    </row>
    <row r="10" spans="2:7" ht="13.5" customHeight="1">
      <c r="B10" s="241"/>
      <c r="C10" s="241"/>
      <c r="D10" s="241"/>
      <c r="E10" s="241"/>
      <c r="F10" s="241"/>
      <c r="G10" s="241"/>
    </row>
    <row r="11" spans="2:7" ht="13.5" customHeight="1">
      <c r="B11" s="245" t="s">
        <v>67</v>
      </c>
      <c r="C11" s="245"/>
      <c r="D11" s="245"/>
      <c r="E11" s="245"/>
      <c r="F11" s="245"/>
      <c r="G11" s="245"/>
    </row>
    <row r="12" spans="2:7" ht="13.5" customHeight="1">
      <c r="B12" s="246"/>
      <c r="C12" s="246"/>
      <c r="D12" s="246"/>
      <c r="E12" s="246"/>
      <c r="F12" s="246"/>
      <c r="G12" s="246"/>
    </row>
    <row r="13" spans="2:7" ht="13.5" customHeight="1">
      <c r="B13" s="52" t="s">
        <v>71</v>
      </c>
      <c r="C13" s="242" t="str">
        <f>BeerName1</f>
        <v>Style1</v>
      </c>
      <c r="D13" s="242"/>
      <c r="E13" s="242"/>
      <c r="F13" s="242"/>
      <c r="G13" s="242"/>
    </row>
    <row r="14" spans="2:7" ht="13.5" customHeight="1">
      <c r="B14" s="241"/>
      <c r="C14" s="241"/>
      <c r="D14" s="241"/>
      <c r="E14" s="241"/>
      <c r="F14" s="241"/>
      <c r="G14" s="241"/>
    </row>
    <row r="15" spans="2:7" ht="13.5" customHeight="1">
      <c r="B15" s="50" t="s">
        <v>68</v>
      </c>
      <c r="C15" s="54" t="s">
        <v>58</v>
      </c>
      <c r="D15" s="54" t="s">
        <v>59</v>
      </c>
      <c r="E15" s="54" t="s">
        <v>60</v>
      </c>
      <c r="F15" s="54" t="s">
        <v>61</v>
      </c>
      <c r="G15" s="54" t="s">
        <v>62</v>
      </c>
    </row>
    <row r="16" spans="2:7" ht="13.5" customHeight="1">
      <c r="B16" s="51" t="s">
        <v>63</v>
      </c>
      <c r="C16" s="55" t="e">
        <f>VLOOKUP(Exam_13,AverageScores,b1_perception,FALSE)</f>
        <v>#DIV/0!</v>
      </c>
      <c r="D16" s="55" t="e">
        <f>VLOOKUP(Exam_13,AverageScores,b1_perception,FALSE)</f>
        <v>#DIV/0!</v>
      </c>
      <c r="E16" s="55" t="e">
        <f>VLOOKUP(Exam_13,AverageScores,b1_perception,FALSE)</f>
        <v>#DIV/0!</v>
      </c>
      <c r="F16" s="55" t="e">
        <f>VLOOKUP(Exam_13,AverageScores,b1_perception,FALSE)</f>
        <v>#DIV/0!</v>
      </c>
      <c r="G16" s="55" t="e">
        <f>VLOOKUP(Exam_13,AverageScores,b1_perception,FALSE)</f>
        <v>#DIV/0!</v>
      </c>
    </row>
    <row r="17" spans="2:7" ht="13.5" customHeight="1">
      <c r="B17" s="51" t="s">
        <v>69</v>
      </c>
      <c r="C17" s="55" t="e">
        <f>VLOOKUP(Exam_13,AverageScores,b1_descriptive,FALSE)</f>
        <v>#DIV/0!</v>
      </c>
      <c r="D17" s="55" t="e">
        <f>VLOOKUP(Exam_13,AverageScores,b1_descriptive,FALSE)</f>
        <v>#DIV/0!</v>
      </c>
      <c r="E17" s="55" t="e">
        <f>VLOOKUP(Exam_13,AverageScores,b1_descriptive,FALSE)</f>
        <v>#DIV/0!</v>
      </c>
      <c r="F17" s="55" t="e">
        <f>VLOOKUP(Exam_13,AverageScores,b1_descriptive,FALSE)</f>
        <v>#DIV/0!</v>
      </c>
      <c r="G17" s="55" t="e">
        <f>VLOOKUP(Exam_13,AverageScores,b1_descriptive,FALSE)</f>
        <v>#DIV/0!</v>
      </c>
    </row>
    <row r="18" spans="2:7" ht="13.5" customHeight="1">
      <c r="B18" s="51" t="s">
        <v>64</v>
      </c>
      <c r="C18" s="55" t="e">
        <f>VLOOKUP(Exam_13,AverageScores,b1_feedback,FALSE)</f>
        <v>#DIV/0!</v>
      </c>
      <c r="D18" s="55" t="e">
        <f>VLOOKUP(Exam_13,AverageScores,b1_feedback,FALSE)</f>
        <v>#DIV/0!</v>
      </c>
      <c r="E18" s="55" t="e">
        <f>VLOOKUP(Exam_13,AverageScores,b1_feedback,FALSE)</f>
        <v>#DIV/0!</v>
      </c>
      <c r="F18" s="55" t="e">
        <f>VLOOKUP(Exam_13,AverageScores,b1_feedback,FALSE)</f>
        <v>#DIV/0!</v>
      </c>
      <c r="G18" s="55" t="e">
        <f>VLOOKUP(Exam_13,AverageScores,b1_feedback,FALSE)</f>
        <v>#DIV/0!</v>
      </c>
    </row>
    <row r="19" spans="2:7" ht="13.5" customHeight="1">
      <c r="B19" s="51" t="s">
        <v>65</v>
      </c>
      <c r="C19" s="55" t="e">
        <f>VLOOKUP(Exam_13,AverageScores,b1_completeness,FALSE)</f>
        <v>#DIV/0!</v>
      </c>
      <c r="D19" s="55" t="e">
        <f>VLOOKUP(Exam_13,AverageScores,b1_completeness,FALSE)</f>
        <v>#DIV/0!</v>
      </c>
      <c r="E19" s="55" t="e">
        <f>VLOOKUP(Exam_13,AverageScores,b1_completeness,FALSE)</f>
        <v>#DIV/0!</v>
      </c>
      <c r="F19" s="55" t="e">
        <f>VLOOKUP(Exam_13,AverageScores,b1_completeness,FALSE)</f>
        <v>#DIV/0!</v>
      </c>
      <c r="G19" s="55" t="e">
        <f>VLOOKUP(Exam_13,AverageScores,b1_completeness,FALSE)</f>
        <v>#DIV/0!</v>
      </c>
    </row>
    <row r="20" spans="2:7" ht="13.5" customHeight="1">
      <c r="B20" s="51" t="s">
        <v>66</v>
      </c>
      <c r="C20" s="55">
        <f>VLOOKUP(Exam_13,ScoringAccuracyTable,b1_accuracy,FALSE)</f>
      </c>
      <c r="D20" s="55">
        <f>VLOOKUP(Exam_13,ScoringAccuracyTable,b1_accuracy,FALSE)</f>
      </c>
      <c r="E20" s="55">
        <f>VLOOKUP(Exam_13,ScoringAccuracyTable,b1_accuracy,FALSE)</f>
      </c>
      <c r="F20" s="55">
        <f>VLOOKUP(Exam_13,ScoringAccuracyTable,b1_accuracy,FALSE)</f>
      </c>
      <c r="G20" s="55">
        <f>VLOOKUP(Exam_13,ScoringAccuracyTable,b1_accuracy,FALSE)</f>
      </c>
    </row>
    <row r="21" spans="2:7" ht="13.5" customHeight="1">
      <c r="B21" s="241"/>
      <c r="C21" s="241"/>
      <c r="D21" s="241"/>
      <c r="E21" s="241"/>
      <c r="F21" s="241"/>
      <c r="G21" s="241"/>
    </row>
    <row r="22" spans="2:7" ht="13.5" customHeight="1">
      <c r="B22" s="52" t="s">
        <v>72</v>
      </c>
      <c r="C22" s="242" t="str">
        <f>BeerName2</f>
        <v>Style2</v>
      </c>
      <c r="D22" s="242"/>
      <c r="E22" s="242"/>
      <c r="F22" s="242"/>
      <c r="G22" s="242"/>
    </row>
    <row r="23" spans="2:7" ht="13.5" customHeight="1">
      <c r="B23" s="247"/>
      <c r="C23" s="247"/>
      <c r="D23" s="247"/>
      <c r="E23" s="247"/>
      <c r="F23" s="247"/>
      <c r="G23" s="247"/>
    </row>
    <row r="24" spans="2:7" ht="13.5" customHeight="1">
      <c r="B24" s="50" t="s">
        <v>68</v>
      </c>
      <c r="C24" s="54" t="s">
        <v>58</v>
      </c>
      <c r="D24" s="56" t="s">
        <v>59</v>
      </c>
      <c r="E24" s="56" t="s">
        <v>60</v>
      </c>
      <c r="F24" s="56" t="s">
        <v>61</v>
      </c>
      <c r="G24" s="56" t="s">
        <v>62</v>
      </c>
    </row>
    <row r="25" spans="2:7" ht="13.5" customHeight="1">
      <c r="B25" s="51" t="s">
        <v>63</v>
      </c>
      <c r="C25" s="55" t="e">
        <f>VLOOKUP(Exam_13,AverageScores,b2_perceptive,FALSE)</f>
        <v>#DIV/0!</v>
      </c>
      <c r="D25" s="55" t="e">
        <f>VLOOKUP(Exam_13,AverageScores,b2_perceptive,FALSE)</f>
        <v>#DIV/0!</v>
      </c>
      <c r="E25" s="55" t="e">
        <f>VLOOKUP(Exam_13,AverageScores,b2_perceptive,FALSE)</f>
        <v>#DIV/0!</v>
      </c>
      <c r="F25" s="55" t="e">
        <f>VLOOKUP(Exam_13,AverageScores,b2_perceptive,FALSE)</f>
        <v>#DIV/0!</v>
      </c>
      <c r="G25" s="55" t="e">
        <f>VLOOKUP(Exam_13,AverageScores,b2_perceptive,FALSE)</f>
        <v>#DIV/0!</v>
      </c>
    </row>
    <row r="26" spans="2:7" ht="13.5" customHeight="1">
      <c r="B26" s="51" t="s">
        <v>69</v>
      </c>
      <c r="C26" s="55" t="e">
        <f>VLOOKUP(Exam_13,AverageScores,b2_descriptive,FALSE)</f>
        <v>#DIV/0!</v>
      </c>
      <c r="D26" s="55" t="e">
        <f>VLOOKUP(Exam_13,AverageScores,b2_descriptive,FALSE)</f>
        <v>#DIV/0!</v>
      </c>
      <c r="E26" s="55" t="e">
        <f>VLOOKUP(Exam_13,AverageScores,b2_descriptive,FALSE)</f>
        <v>#DIV/0!</v>
      </c>
      <c r="F26" s="55" t="e">
        <f>VLOOKUP(Exam_13,AverageScores,b2_descriptive,FALSE)</f>
        <v>#DIV/0!</v>
      </c>
      <c r="G26" s="55" t="e">
        <f>VLOOKUP(Exam_13,AverageScores,b2_descriptive,FALSE)</f>
        <v>#DIV/0!</v>
      </c>
    </row>
    <row r="27" spans="2:7" ht="13.5" customHeight="1">
      <c r="B27" s="51" t="s">
        <v>64</v>
      </c>
      <c r="C27" s="55" t="e">
        <f>VLOOKUP(Exam_13,AverageScores,b2_feedback,FALSE)</f>
        <v>#DIV/0!</v>
      </c>
      <c r="D27" s="55" t="e">
        <f>VLOOKUP(Exam_13,AverageScores,b2_feedback,FALSE)</f>
        <v>#DIV/0!</v>
      </c>
      <c r="E27" s="55" t="e">
        <f>VLOOKUP(Exam_13,AverageScores,b2_feedback,FALSE)</f>
        <v>#DIV/0!</v>
      </c>
      <c r="F27" s="55" t="e">
        <f>VLOOKUP(Exam_13,AverageScores,b2_feedback,FALSE)</f>
        <v>#DIV/0!</v>
      </c>
      <c r="G27" s="55" t="e">
        <f>VLOOKUP(Exam_13,AverageScores,b2_feedback,FALSE)</f>
        <v>#DIV/0!</v>
      </c>
    </row>
    <row r="28" spans="2:7" ht="13.5" customHeight="1">
      <c r="B28" s="51" t="s">
        <v>65</v>
      </c>
      <c r="C28" s="55" t="e">
        <f>VLOOKUP(Exam_13,AverageScores,b2_completeness,FALSE)</f>
        <v>#DIV/0!</v>
      </c>
      <c r="D28" s="55" t="e">
        <f>VLOOKUP(Exam_13,AverageScores,b2_completeness,FALSE)</f>
        <v>#DIV/0!</v>
      </c>
      <c r="E28" s="55" t="e">
        <f>VLOOKUP(Exam_13,AverageScores,b2_completeness,FALSE)</f>
        <v>#DIV/0!</v>
      </c>
      <c r="F28" s="55" t="e">
        <f>VLOOKUP(Exam_13,AverageScores,b2_completeness,FALSE)</f>
        <v>#DIV/0!</v>
      </c>
      <c r="G28" s="55" t="e">
        <f>VLOOKUP(Exam_13,AverageScores,b2_completeness,FALSE)</f>
        <v>#DIV/0!</v>
      </c>
    </row>
    <row r="29" spans="2:7" ht="13.5" customHeight="1">
      <c r="B29" s="51" t="s">
        <v>66</v>
      </c>
      <c r="C29" s="55">
        <f>VLOOKUP(Exam_13,ScoringAccuracyTable,b2_accuracy,FALSE)</f>
      </c>
      <c r="D29" s="55">
        <f>VLOOKUP(Exam_13,ScoringAccuracyTable,b2_accuracy,FALSE)</f>
      </c>
      <c r="E29" s="55">
        <f>VLOOKUP(Exam_13,ScoringAccuracyTable,b2_accuracy,FALSE)</f>
      </c>
      <c r="F29" s="55">
        <f>VLOOKUP(Exam_13,ScoringAccuracyTable,b2_accuracy,FALSE)</f>
      </c>
      <c r="G29" s="55">
        <f>VLOOKUP(Exam_13,ScoringAccuracyTable,b2_accuracy,FALSE)</f>
      </c>
    </row>
    <row r="30" spans="2:7" ht="13.5" customHeight="1">
      <c r="B30" s="241"/>
      <c r="C30" s="241"/>
      <c r="D30" s="241"/>
      <c r="E30" s="241"/>
      <c r="F30" s="241"/>
      <c r="G30" s="241"/>
    </row>
    <row r="31" spans="2:7" ht="13.5" customHeight="1">
      <c r="B31" s="52" t="s">
        <v>76</v>
      </c>
      <c r="C31" s="242" t="str">
        <f>BeerName3</f>
        <v>Style3</v>
      </c>
      <c r="D31" s="242"/>
      <c r="E31" s="242"/>
      <c r="F31" s="242"/>
      <c r="G31" s="242"/>
    </row>
    <row r="32" spans="2:7" ht="13.5" customHeight="1">
      <c r="B32" s="247"/>
      <c r="C32" s="247"/>
      <c r="D32" s="247"/>
      <c r="E32" s="247"/>
      <c r="F32" s="247"/>
      <c r="G32" s="247"/>
    </row>
    <row r="33" spans="2:7" ht="13.5" customHeight="1">
      <c r="B33" s="50" t="s">
        <v>68</v>
      </c>
      <c r="C33" s="54" t="s">
        <v>58</v>
      </c>
      <c r="D33" s="54" t="s">
        <v>59</v>
      </c>
      <c r="E33" s="54" t="s">
        <v>60</v>
      </c>
      <c r="F33" s="54" t="s">
        <v>61</v>
      </c>
      <c r="G33" s="54" t="s">
        <v>62</v>
      </c>
    </row>
    <row r="34" spans="2:7" ht="13.5" customHeight="1">
      <c r="B34" s="51" t="s">
        <v>63</v>
      </c>
      <c r="C34" s="55" t="e">
        <f>VLOOKUP(Exam_13,AverageScores,b3_perception,FALSE)</f>
        <v>#DIV/0!</v>
      </c>
      <c r="D34" s="55" t="e">
        <f>VLOOKUP(Exam_13,AverageScores,b3_perception,FALSE)</f>
        <v>#DIV/0!</v>
      </c>
      <c r="E34" s="55" t="e">
        <f>VLOOKUP(Exam_13,AverageScores,b3_perception,FALSE)</f>
        <v>#DIV/0!</v>
      </c>
      <c r="F34" s="55" t="e">
        <f>VLOOKUP(Exam_13,AverageScores,b3_perception,FALSE)</f>
        <v>#DIV/0!</v>
      </c>
      <c r="G34" s="55" t="e">
        <f>VLOOKUP(Exam_13,AverageScores,b3_perception,FALSE)</f>
        <v>#DIV/0!</v>
      </c>
    </row>
    <row r="35" spans="2:7" ht="13.5" customHeight="1">
      <c r="B35" s="51" t="s">
        <v>69</v>
      </c>
      <c r="C35" s="55" t="e">
        <f>VLOOKUP(Exam_13,AverageScores,b3_descriptive,FALSE)</f>
        <v>#DIV/0!</v>
      </c>
      <c r="D35" s="55" t="e">
        <f>VLOOKUP(Exam_13,AverageScores,b3_descriptive,FALSE)</f>
        <v>#DIV/0!</v>
      </c>
      <c r="E35" s="55" t="e">
        <f>VLOOKUP(Exam_13,AverageScores,b3_descriptive,FALSE)</f>
        <v>#DIV/0!</v>
      </c>
      <c r="F35" s="55" t="e">
        <f>VLOOKUP(Exam_13,AverageScores,b3_descriptive,FALSE)</f>
        <v>#DIV/0!</v>
      </c>
      <c r="G35" s="55" t="e">
        <f>VLOOKUP(Exam_13,AverageScores,b3_descriptive,FALSE)</f>
        <v>#DIV/0!</v>
      </c>
    </row>
    <row r="36" spans="2:7" ht="13.5" customHeight="1">
      <c r="B36" s="51" t="s">
        <v>64</v>
      </c>
      <c r="C36" s="55" t="e">
        <f>VLOOKUP(Exam_13,AverageScores,b3_feedback,FALSE)</f>
        <v>#DIV/0!</v>
      </c>
      <c r="D36" s="55" t="e">
        <f>VLOOKUP(Exam_13,AverageScores,b3_feedback,FALSE)</f>
        <v>#DIV/0!</v>
      </c>
      <c r="E36" s="55" t="e">
        <f>VLOOKUP(Exam_13,AverageScores,b3_feedback,FALSE)</f>
        <v>#DIV/0!</v>
      </c>
      <c r="F36" s="55" t="e">
        <f>VLOOKUP(Exam_13,AverageScores,b3_feedback,FALSE)</f>
        <v>#DIV/0!</v>
      </c>
      <c r="G36" s="55" t="e">
        <f>VLOOKUP(Exam_13,AverageScores,b3_feedback,FALSE)</f>
        <v>#DIV/0!</v>
      </c>
    </row>
    <row r="37" spans="2:7" ht="13.5" customHeight="1">
      <c r="B37" s="51" t="s">
        <v>65</v>
      </c>
      <c r="C37" s="55" t="e">
        <f>VLOOKUP(Exam_13,AverageScores,b3_completeness,FALSE)</f>
        <v>#DIV/0!</v>
      </c>
      <c r="D37" s="55" t="e">
        <f>VLOOKUP(Exam_13,AverageScores,b3_completeness,FALSE)</f>
        <v>#DIV/0!</v>
      </c>
      <c r="E37" s="55" t="e">
        <f>VLOOKUP(Exam_13,AverageScores,b3_completeness,FALSE)</f>
        <v>#DIV/0!</v>
      </c>
      <c r="F37" s="55" t="e">
        <f>VLOOKUP(Exam_13,AverageScores,b3_completeness,FALSE)</f>
        <v>#DIV/0!</v>
      </c>
      <c r="G37" s="55" t="e">
        <f>VLOOKUP(Exam_13,AverageScores,b3_completeness,FALSE)</f>
        <v>#DIV/0!</v>
      </c>
    </row>
    <row r="38" spans="2:7" ht="13.5" customHeight="1">
      <c r="B38" s="51" t="s">
        <v>66</v>
      </c>
      <c r="C38" s="55">
        <f>VLOOKUP(Exam_13,ScoringAccuracyTable,b3_accuracy,FALSE)</f>
      </c>
      <c r="D38" s="55">
        <f>VLOOKUP(Exam_13,ScoringAccuracyTable,b3_accuracy,FALSE)</f>
      </c>
      <c r="E38" s="55">
        <f>VLOOKUP(Exam_13,ScoringAccuracyTable,b3_accuracy,FALSE)</f>
      </c>
      <c r="F38" s="55">
        <f>VLOOKUP(Exam_13,ScoringAccuracyTable,b3_accuracy,FALSE)</f>
      </c>
      <c r="G38" s="55">
        <f>VLOOKUP(Exam_13,ScoringAccuracyTable,b3_accuracy,FALSE)</f>
      </c>
    </row>
    <row r="39" spans="2:7" ht="13.5" customHeight="1">
      <c r="B39" s="241"/>
      <c r="C39" s="241"/>
      <c r="D39" s="241"/>
      <c r="E39" s="241"/>
      <c r="F39" s="241"/>
      <c r="G39" s="241"/>
    </row>
    <row r="40" spans="2:7" ht="13.5" customHeight="1">
      <c r="B40" s="52" t="s">
        <v>75</v>
      </c>
      <c r="C40" s="242" t="str">
        <f>BeerName4</f>
        <v>Style4</v>
      </c>
      <c r="D40" s="242"/>
      <c r="E40" s="242"/>
      <c r="F40" s="242"/>
      <c r="G40" s="242"/>
    </row>
    <row r="41" spans="2:7" ht="13.5" customHeight="1">
      <c r="B41" s="241"/>
      <c r="C41" s="241"/>
      <c r="D41" s="241"/>
      <c r="E41" s="241"/>
      <c r="F41" s="241"/>
      <c r="G41" s="241"/>
    </row>
    <row r="42" spans="2:7" ht="13.5" customHeight="1">
      <c r="B42" s="50" t="s">
        <v>68</v>
      </c>
      <c r="C42" s="54" t="s">
        <v>58</v>
      </c>
      <c r="D42" s="54" t="s">
        <v>59</v>
      </c>
      <c r="E42" s="54" t="s">
        <v>60</v>
      </c>
      <c r="F42" s="54" t="s">
        <v>61</v>
      </c>
      <c r="G42" s="54" t="s">
        <v>62</v>
      </c>
    </row>
    <row r="43" spans="2:7" ht="13.5" customHeight="1">
      <c r="B43" s="51" t="s">
        <v>63</v>
      </c>
      <c r="C43" s="55" t="e">
        <f>VLOOKUP(Exam_13,AverageScores,b4_perception,FALSE)</f>
        <v>#DIV/0!</v>
      </c>
      <c r="D43" s="55" t="e">
        <f>VLOOKUP(Exam_13,AverageScores,b4_perception,FALSE)</f>
        <v>#DIV/0!</v>
      </c>
      <c r="E43" s="55" t="e">
        <f>VLOOKUP(Exam_13,AverageScores,b4_perception,FALSE)</f>
        <v>#DIV/0!</v>
      </c>
      <c r="F43" s="55" t="e">
        <f>VLOOKUP(Exam_13,AverageScores,b4_perception,FALSE)</f>
        <v>#DIV/0!</v>
      </c>
      <c r="G43" s="55" t="e">
        <f>VLOOKUP(Exam_13,AverageScores,b4_perception,FALSE)</f>
        <v>#DIV/0!</v>
      </c>
    </row>
    <row r="44" spans="2:7" ht="13.5" customHeight="1">
      <c r="B44" s="51" t="s">
        <v>69</v>
      </c>
      <c r="C44" s="55" t="e">
        <f>VLOOKUP(Exam_13,AverageScores,b4_descriptive,FALSE)</f>
        <v>#DIV/0!</v>
      </c>
      <c r="D44" s="55" t="e">
        <f>VLOOKUP(Exam_13,AverageScores,b4_descriptive,FALSE)</f>
        <v>#DIV/0!</v>
      </c>
      <c r="E44" s="55" t="e">
        <f>VLOOKUP(Exam_13,AverageScores,b4_descriptive,FALSE)</f>
        <v>#DIV/0!</v>
      </c>
      <c r="F44" s="55" t="e">
        <f>VLOOKUP(Exam_13,AverageScores,b4_descriptive,FALSE)</f>
        <v>#DIV/0!</v>
      </c>
      <c r="G44" s="55" t="e">
        <f>VLOOKUP(Exam_13,AverageScores,b4_descriptive,FALSE)</f>
        <v>#DIV/0!</v>
      </c>
    </row>
    <row r="45" spans="2:7" ht="13.5" customHeight="1">
      <c r="B45" s="51" t="s">
        <v>64</v>
      </c>
      <c r="C45" s="55" t="e">
        <f>VLOOKUP(Exam_13,AverageScores,b4_feedback,FALSE)</f>
        <v>#DIV/0!</v>
      </c>
      <c r="D45" s="55" t="e">
        <f>VLOOKUP(Exam_13,AverageScores,b4_feedback,FALSE)</f>
        <v>#DIV/0!</v>
      </c>
      <c r="E45" s="55" t="e">
        <f>VLOOKUP(Exam_13,AverageScores,b4_feedback,FALSE)</f>
        <v>#DIV/0!</v>
      </c>
      <c r="F45" s="55" t="e">
        <f>VLOOKUP(Exam_13,AverageScores,b4_feedback,FALSE)</f>
        <v>#DIV/0!</v>
      </c>
      <c r="G45" s="55" t="e">
        <f>VLOOKUP(Exam_13,AverageScores,b4_feedback,FALSE)</f>
        <v>#DIV/0!</v>
      </c>
    </row>
    <row r="46" spans="2:7" ht="13.5" customHeight="1">
      <c r="B46" s="51" t="s">
        <v>65</v>
      </c>
      <c r="C46" s="55" t="e">
        <f>VLOOKUP(Exam_13,AverageScores,b4_completeness,FALSE)</f>
        <v>#DIV/0!</v>
      </c>
      <c r="D46" s="55" t="e">
        <f>VLOOKUP(Exam_13,AverageScores,b4_completeness,FALSE)</f>
        <v>#DIV/0!</v>
      </c>
      <c r="E46" s="55" t="e">
        <f>VLOOKUP(Exam_13,AverageScores,b4_completeness,FALSE)</f>
        <v>#DIV/0!</v>
      </c>
      <c r="F46" s="55" t="e">
        <f>VLOOKUP(Exam_13,AverageScores,b4_completeness,FALSE)</f>
        <v>#DIV/0!</v>
      </c>
      <c r="G46" s="55" t="e">
        <f>VLOOKUP(Exam_13,AverageScores,b4_completeness,FALSE)</f>
        <v>#DIV/0!</v>
      </c>
    </row>
    <row r="47" spans="2:7" ht="13.5" customHeight="1">
      <c r="B47" s="51" t="s">
        <v>66</v>
      </c>
      <c r="C47" s="55">
        <f>VLOOKUP(Exam_13,ScoringAccuracyTable,b4_accuracy,FALSE)</f>
      </c>
      <c r="D47" s="55">
        <f>VLOOKUP(Exam_13,ScoringAccuracyTable,b4_accuracy,FALSE)</f>
      </c>
      <c r="E47" s="55">
        <f>VLOOKUP(Exam_13,ScoringAccuracyTable,b4_accuracy,FALSE)</f>
      </c>
      <c r="F47" s="55">
        <f>VLOOKUP(Exam_13,ScoringAccuracyTable,b4_accuracy,FALSE)</f>
      </c>
      <c r="G47" s="55">
        <f>VLOOKUP(Exam_13,ScoringAccuracyTable,b4_accuracy,FALSE)</f>
      </c>
    </row>
    <row r="48" spans="2:7" ht="13.5" customHeight="1">
      <c r="B48" s="241"/>
      <c r="C48" s="241"/>
      <c r="D48" s="241"/>
      <c r="E48" s="241"/>
      <c r="F48" s="241"/>
      <c r="G48" s="241"/>
    </row>
    <row r="53" spans="2:7" ht="13.5" customHeight="1">
      <c r="B53" s="52" t="s">
        <v>74</v>
      </c>
      <c r="C53" s="242" t="str">
        <f>BeerName5</f>
        <v>Style5</v>
      </c>
      <c r="D53" s="242"/>
      <c r="E53" s="242"/>
      <c r="F53" s="242"/>
      <c r="G53" s="242"/>
    </row>
    <row r="54" spans="2:7" ht="13.5" customHeight="1">
      <c r="B54" s="241"/>
      <c r="C54" s="241"/>
      <c r="D54" s="241"/>
      <c r="E54" s="241"/>
      <c r="F54" s="241"/>
      <c r="G54" s="241"/>
    </row>
    <row r="55" spans="2:7" ht="13.5" customHeight="1">
      <c r="B55" s="50" t="s">
        <v>68</v>
      </c>
      <c r="C55" s="54" t="s">
        <v>58</v>
      </c>
      <c r="D55" s="54" t="s">
        <v>59</v>
      </c>
      <c r="E55" s="54" t="s">
        <v>60</v>
      </c>
      <c r="F55" s="54" t="s">
        <v>61</v>
      </c>
      <c r="G55" s="54" t="s">
        <v>62</v>
      </c>
    </row>
    <row r="56" spans="2:7" ht="13.5" customHeight="1">
      <c r="B56" s="51" t="s">
        <v>63</v>
      </c>
      <c r="C56" s="55" t="e">
        <f>VLOOKUP(Exam_13,AverageScores,b5_perception,FALSE)</f>
        <v>#DIV/0!</v>
      </c>
      <c r="D56" s="55" t="e">
        <f>VLOOKUP(Exam_13,AverageScores,b5_perception,FALSE)</f>
        <v>#DIV/0!</v>
      </c>
      <c r="E56" s="55" t="e">
        <f>VLOOKUP(Exam_13,AverageScores,b5_perception,FALSE)</f>
        <v>#DIV/0!</v>
      </c>
      <c r="F56" s="55" t="e">
        <f>VLOOKUP(Exam_13,AverageScores,b5_perception,FALSE)</f>
        <v>#DIV/0!</v>
      </c>
      <c r="G56" s="55" t="e">
        <f>VLOOKUP(Exam_13,AverageScores,b5_perception,FALSE)</f>
        <v>#DIV/0!</v>
      </c>
    </row>
    <row r="57" spans="2:7" ht="13.5" customHeight="1">
      <c r="B57" s="51" t="s">
        <v>69</v>
      </c>
      <c r="C57" s="55" t="e">
        <f>VLOOKUP(Exam_13,AverageScores,b5_descriptive,FALSE)</f>
        <v>#DIV/0!</v>
      </c>
      <c r="D57" s="55" t="e">
        <f>VLOOKUP(Exam_13,AverageScores,b5_descriptive,FALSE)</f>
        <v>#DIV/0!</v>
      </c>
      <c r="E57" s="55" t="e">
        <f>VLOOKUP(Exam_13,AverageScores,b5_descriptive,FALSE)</f>
        <v>#DIV/0!</v>
      </c>
      <c r="F57" s="55" t="e">
        <f>VLOOKUP(Exam_13,AverageScores,b5_descriptive,FALSE)</f>
        <v>#DIV/0!</v>
      </c>
      <c r="G57" s="55" t="e">
        <f>VLOOKUP(Exam_13,AverageScores,b5_descriptive,FALSE)</f>
        <v>#DIV/0!</v>
      </c>
    </row>
    <row r="58" spans="2:7" ht="13.5" customHeight="1">
      <c r="B58" s="51" t="s">
        <v>64</v>
      </c>
      <c r="C58" s="55" t="e">
        <f>VLOOKUP(Exam_13,AverageScores,b5_feedback,FALSE)</f>
        <v>#DIV/0!</v>
      </c>
      <c r="D58" s="55" t="e">
        <f>VLOOKUP(Exam_13,AverageScores,b5_feedback,FALSE)</f>
        <v>#DIV/0!</v>
      </c>
      <c r="E58" s="55" t="e">
        <f>VLOOKUP(Exam_13,AverageScores,b5_feedback,FALSE)</f>
        <v>#DIV/0!</v>
      </c>
      <c r="F58" s="55" t="e">
        <f>VLOOKUP(Exam_13,AverageScores,b5_feedback,FALSE)</f>
        <v>#DIV/0!</v>
      </c>
      <c r="G58" s="55" t="e">
        <f>VLOOKUP(Exam_13,AverageScores,b5_feedback,FALSE)</f>
        <v>#DIV/0!</v>
      </c>
    </row>
    <row r="59" spans="2:7" ht="13.5" customHeight="1">
      <c r="B59" s="51" t="s">
        <v>65</v>
      </c>
      <c r="C59" s="55" t="e">
        <f>VLOOKUP(Exam_13,AverageScores,b5_completeness,FALSE)</f>
        <v>#DIV/0!</v>
      </c>
      <c r="D59" s="55" t="e">
        <f>VLOOKUP(Exam_13,AverageScores,b5_completeness,FALSE)</f>
        <v>#DIV/0!</v>
      </c>
      <c r="E59" s="55" t="e">
        <f>VLOOKUP(Exam_13,AverageScores,b5_completeness,FALSE)</f>
        <v>#DIV/0!</v>
      </c>
      <c r="F59" s="55" t="e">
        <f>VLOOKUP(Exam_13,AverageScores,b5_completeness,FALSE)</f>
        <v>#DIV/0!</v>
      </c>
      <c r="G59" s="55" t="e">
        <f>VLOOKUP(Exam_13,AverageScores,b5_completeness,FALSE)</f>
        <v>#DIV/0!</v>
      </c>
    </row>
    <row r="60" spans="2:7" ht="13.5" customHeight="1">
      <c r="B60" s="51" t="s">
        <v>66</v>
      </c>
      <c r="C60" s="55">
        <f>VLOOKUP(Exam_13,ScoringAccuracyTable,b5_accuracy,FALSE)</f>
      </c>
      <c r="D60" s="55">
        <f>VLOOKUP(Exam_13,ScoringAccuracyTable,b5_accuracy,FALSE)</f>
      </c>
      <c r="E60" s="55">
        <f>VLOOKUP(Exam_13,ScoringAccuracyTable,b5_accuracy,FALSE)</f>
      </c>
      <c r="F60" s="55">
        <f>VLOOKUP(Exam_13,ScoringAccuracyTable,b5_accuracy,FALSE)</f>
      </c>
      <c r="G60" s="55">
        <f>VLOOKUP(Exam_13,ScoringAccuracyTable,b5_accuracy,FALSE)</f>
      </c>
    </row>
    <row r="61" spans="2:7" ht="13.5" customHeight="1">
      <c r="B61" s="241"/>
      <c r="C61" s="241"/>
      <c r="D61" s="241"/>
      <c r="E61" s="241"/>
      <c r="F61" s="241"/>
      <c r="G61" s="241"/>
    </row>
    <row r="62" spans="2:7" ht="13.5" customHeight="1">
      <c r="B62" s="52" t="s">
        <v>73</v>
      </c>
      <c r="C62" s="242" t="str">
        <f>BeerName6</f>
        <v>Style6</v>
      </c>
      <c r="D62" s="242"/>
      <c r="E62" s="242"/>
      <c r="F62" s="242"/>
      <c r="G62" s="242"/>
    </row>
    <row r="63" spans="2:7" ht="13.5" customHeight="1">
      <c r="B63" s="241"/>
      <c r="C63" s="241"/>
      <c r="D63" s="241"/>
      <c r="E63" s="241"/>
      <c r="F63" s="241"/>
      <c r="G63" s="241"/>
    </row>
    <row r="64" spans="2:7" ht="13.5" customHeight="1">
      <c r="B64" s="50" t="s">
        <v>68</v>
      </c>
      <c r="C64" s="54" t="s">
        <v>58</v>
      </c>
      <c r="D64" s="54" t="s">
        <v>59</v>
      </c>
      <c r="E64" s="54" t="s">
        <v>60</v>
      </c>
      <c r="F64" s="54" t="s">
        <v>61</v>
      </c>
      <c r="G64" s="54" t="s">
        <v>62</v>
      </c>
    </row>
    <row r="65" spans="2:7" ht="13.5" customHeight="1">
      <c r="B65" s="51" t="s">
        <v>63</v>
      </c>
      <c r="C65" s="55" t="e">
        <f>VLOOKUP(Exam_13,AverageScores,b6_perception,FALSE)</f>
        <v>#DIV/0!</v>
      </c>
      <c r="D65" s="55" t="e">
        <f>VLOOKUP(Exam_13,AverageScores,b6_perception,FALSE)</f>
        <v>#DIV/0!</v>
      </c>
      <c r="E65" s="55" t="e">
        <f>VLOOKUP(Exam_13,AverageScores,b6_perception,FALSE)</f>
        <v>#DIV/0!</v>
      </c>
      <c r="F65" s="55" t="e">
        <f>VLOOKUP(Exam_13,AverageScores,b6_perception,FALSE)</f>
        <v>#DIV/0!</v>
      </c>
      <c r="G65" s="55" t="e">
        <f>VLOOKUP(Exam_13,AverageScores,b6_perception,FALSE)</f>
        <v>#DIV/0!</v>
      </c>
    </row>
    <row r="66" spans="2:7" ht="13.5" customHeight="1">
      <c r="B66" s="51" t="s">
        <v>69</v>
      </c>
      <c r="C66" s="55" t="e">
        <f>VLOOKUP(Exam_13,AverageScores,b6_descriptive,FALSE)</f>
        <v>#DIV/0!</v>
      </c>
      <c r="D66" s="55" t="e">
        <f>VLOOKUP(Exam_13,AverageScores,b6_descriptive,FALSE)</f>
        <v>#DIV/0!</v>
      </c>
      <c r="E66" s="55" t="e">
        <f>VLOOKUP(Exam_13,AverageScores,b6_descriptive,FALSE)</f>
        <v>#DIV/0!</v>
      </c>
      <c r="F66" s="55" t="e">
        <f>VLOOKUP(Exam_13,AverageScores,b6_descriptive,FALSE)</f>
        <v>#DIV/0!</v>
      </c>
      <c r="G66" s="55" t="e">
        <f>VLOOKUP(Exam_13,AverageScores,b6_descriptive,FALSE)</f>
        <v>#DIV/0!</v>
      </c>
    </row>
    <row r="67" spans="2:7" ht="13.5" customHeight="1">
      <c r="B67" s="51" t="s">
        <v>64</v>
      </c>
      <c r="C67" s="55" t="e">
        <f>VLOOKUP(Exam_13,AverageScores,b6_feedback,FALSE)</f>
        <v>#DIV/0!</v>
      </c>
      <c r="D67" s="55" t="e">
        <f>VLOOKUP(Exam_13,AverageScores,b6_feedback,FALSE)</f>
        <v>#DIV/0!</v>
      </c>
      <c r="E67" s="55" t="e">
        <f>VLOOKUP(Exam_13,AverageScores,b6_feedback,FALSE)</f>
        <v>#DIV/0!</v>
      </c>
      <c r="F67" s="55" t="e">
        <f>VLOOKUP(Exam_13,AverageScores,b6_feedback,FALSE)</f>
        <v>#DIV/0!</v>
      </c>
      <c r="G67" s="55" t="e">
        <f>VLOOKUP(Exam_13,AverageScores,b6_feedback,FALSE)</f>
        <v>#DIV/0!</v>
      </c>
    </row>
    <row r="68" spans="2:7" ht="13.5" customHeight="1">
      <c r="B68" s="51" t="s">
        <v>65</v>
      </c>
      <c r="C68" s="55" t="e">
        <f>VLOOKUP(Exam_13,AverageScores,b6_completeness,FALSE)</f>
        <v>#DIV/0!</v>
      </c>
      <c r="D68" s="55" t="e">
        <f>VLOOKUP(Exam_13,AverageScores,b6_completeness,FALSE)</f>
        <v>#DIV/0!</v>
      </c>
      <c r="E68" s="55" t="e">
        <f>VLOOKUP(Exam_13,AverageScores,b6_completeness,FALSE)</f>
        <v>#DIV/0!</v>
      </c>
      <c r="F68" s="55" t="e">
        <f>VLOOKUP(Exam_13,AverageScores,b6_completeness,FALSE)</f>
        <v>#DIV/0!</v>
      </c>
      <c r="G68" s="55" t="e">
        <f>VLOOKUP(Exam_13,AverageScores,b6_completeness,FALSE)</f>
        <v>#DIV/0!</v>
      </c>
    </row>
    <row r="69" spans="2:7" ht="13.5" customHeight="1">
      <c r="B69" s="51" t="s">
        <v>66</v>
      </c>
      <c r="C69" s="55">
        <f>VLOOKUP(Exam_13,ScoringAccuracyTable,b6_accuracy,FALSE)</f>
      </c>
      <c r="D69" s="55">
        <f>VLOOKUP(Exam_13,ScoringAccuracyTable,b6_accuracy,FALSE)</f>
      </c>
      <c r="E69" s="55">
        <f>VLOOKUP(Exam_13,ScoringAccuracyTable,b6_accuracy,FALSE)</f>
      </c>
      <c r="F69" s="55">
        <f>VLOOKUP(Exam_13,ScoringAccuracyTable,b6_accuracy,FALSE)</f>
      </c>
      <c r="G69" s="55">
        <f>VLOOKUP(Exam_13,ScoringAccuracyTable,b6_accuracy,FALSE)</f>
      </c>
    </row>
    <row r="72" spans="1:7" ht="13.5" customHeight="1">
      <c r="A72" s="131" t="s">
        <v>18</v>
      </c>
      <c r="B72" s="243" t="s">
        <v>70</v>
      </c>
      <c r="C72" s="243"/>
      <c r="D72" s="243"/>
      <c r="E72" s="243"/>
      <c r="F72" s="243"/>
      <c r="G72" s="243"/>
    </row>
    <row r="73" spans="1:7" ht="13.5" customHeight="1">
      <c r="A73" s="132">
        <f>Exam_14</f>
        <v>14</v>
      </c>
      <c r="B73" s="244"/>
      <c r="C73" s="244"/>
      <c r="D73" s="244"/>
      <c r="E73" s="244"/>
      <c r="F73" s="244"/>
      <c r="G73" s="244"/>
    </row>
    <row r="74" spans="2:7" ht="13.5" customHeight="1">
      <c r="B74" s="50" t="s">
        <v>68</v>
      </c>
      <c r="C74" s="54" t="s">
        <v>58</v>
      </c>
      <c r="D74" s="54" t="s">
        <v>59</v>
      </c>
      <c r="E74" s="54" t="s">
        <v>60</v>
      </c>
      <c r="F74" s="54" t="s">
        <v>61</v>
      </c>
      <c r="G74" s="54" t="s">
        <v>62</v>
      </c>
    </row>
    <row r="75" spans="2:7" ht="13.5" customHeight="1">
      <c r="B75" s="51" t="s">
        <v>63</v>
      </c>
      <c r="C75" s="55" t="e">
        <f>0.2*AVERAGE(VLOOKUP(Exam_14,Sum_Accuracy,9,FALSE),VLOOKUP(Exam_14,Sum_Accuracy,10,FALSE))</f>
        <v>#VALUE!</v>
      </c>
      <c r="D75" s="55" t="e">
        <f>0.2*AVERAGE(VLOOKUP(Exam_14,Sum_Accuracy,9,FALSE),VLOOKUP(Exam_14,Sum_Accuracy,10,FALSE))</f>
        <v>#VALUE!</v>
      </c>
      <c r="E75" s="55" t="e">
        <f>0.2*AVERAGE(VLOOKUP(Exam_14,Sum_Accuracy,9,FALSE),VLOOKUP(Exam_14,Sum_Accuracy,10,FALSE))</f>
        <v>#VALUE!</v>
      </c>
      <c r="F75" s="55" t="e">
        <f>0.2*AVERAGE(VLOOKUP(Exam_14,Sum_Accuracy,9,FALSE),VLOOKUP(Exam_14,Sum_Accuracy,10,FALSE))</f>
        <v>#VALUE!</v>
      </c>
      <c r="G75" s="55" t="e">
        <f>0.2*AVERAGE(VLOOKUP(Exam_14,Sum_Accuracy,9,FALSE),VLOOKUP(Exam_14,Sum_Accuracy,10,FALSE))</f>
        <v>#VALUE!</v>
      </c>
    </row>
    <row r="76" spans="2:7" ht="13.5" customHeight="1">
      <c r="B76" s="51" t="s">
        <v>69</v>
      </c>
      <c r="C76" s="55" t="e">
        <f>0.2*AVERAGE(VLOOKUP(Exam_14,Sum_Accuracy,11,FALSE),VLOOKUP(Exam_14,Sum_Accuracy,12,FALSE))</f>
        <v>#VALUE!</v>
      </c>
      <c r="D76" s="55" t="e">
        <f>0.2*AVERAGE(VLOOKUP(Exam_14,Sum_Accuracy,11,FALSE),VLOOKUP(Exam_14,Sum_Accuracy,12,FALSE))</f>
        <v>#VALUE!</v>
      </c>
      <c r="E76" s="55" t="e">
        <f>0.2*AVERAGE(VLOOKUP(Exam_14,Sum_Accuracy,11,FALSE),VLOOKUP(Exam_14,Sum_Accuracy,12,FALSE))</f>
        <v>#VALUE!</v>
      </c>
      <c r="F76" s="55" t="e">
        <f>0.2*AVERAGE(VLOOKUP(Exam_14,Sum_Accuracy,11,FALSE),VLOOKUP(Exam_14,Sum_Accuracy,12,FALSE))</f>
        <v>#VALUE!</v>
      </c>
      <c r="G76" s="55" t="e">
        <f>0.2*AVERAGE(VLOOKUP(Exam_14,Sum_Accuracy,11,FALSE),VLOOKUP(Exam_14,Sum_Accuracy,12,FALSE))</f>
        <v>#VALUE!</v>
      </c>
    </row>
    <row r="77" spans="2:7" ht="13.5" customHeight="1">
      <c r="B77" s="51" t="s">
        <v>64</v>
      </c>
      <c r="C77" s="55" t="e">
        <f>0.2*AVERAGE(VLOOKUP(Exam_14,Sum_Accuracy,13,FALSE),VLOOKUP(Exam_14,Sum_Accuracy,14,FALSE))</f>
        <v>#VALUE!</v>
      </c>
      <c r="D77" s="55" t="e">
        <f>0.2*AVERAGE(VLOOKUP(Exam_14,Sum_Accuracy,13,FALSE),VLOOKUP(Exam_14,Sum_Accuracy,14,FALSE))</f>
        <v>#VALUE!</v>
      </c>
      <c r="E77" s="55" t="e">
        <f>0.2*AVERAGE(VLOOKUP(Exam_14,Sum_Accuracy,13,FALSE),VLOOKUP(Exam_14,Sum_Accuracy,14,FALSE))</f>
        <v>#VALUE!</v>
      </c>
      <c r="F77" s="55" t="e">
        <f>0.2*AVERAGE(VLOOKUP(Exam_14,Sum_Accuracy,13,FALSE),VLOOKUP(Exam_14,Sum_Accuracy,14,FALSE))</f>
        <v>#VALUE!</v>
      </c>
      <c r="G77" s="55" t="e">
        <f>0.2*AVERAGE(VLOOKUP(Exam_14,Sum_Accuracy,13,FALSE),VLOOKUP(Exam_14,Sum_Accuracy,14,FALSE))</f>
        <v>#VALUE!</v>
      </c>
    </row>
    <row r="78" spans="2:7" ht="13.5" customHeight="1">
      <c r="B78" s="51" t="s">
        <v>65</v>
      </c>
      <c r="C78" s="55" t="e">
        <f>0.2*AVERAGE(VLOOKUP(Exam_14,Sum_Accuracy,15,FALSE),VLOOKUP(Exam_14,Sum_Accuracy,16,FALSE))</f>
        <v>#VALUE!</v>
      </c>
      <c r="D78" s="55" t="e">
        <f>0.2*AVERAGE(VLOOKUP(Exam_14,Sum_Accuracy,15,FALSE),VLOOKUP(Exam_14,Sum_Accuracy,16,FALSE))</f>
        <v>#VALUE!</v>
      </c>
      <c r="E78" s="55" t="e">
        <f>0.2*AVERAGE(VLOOKUP(Exam_14,Sum_Accuracy,15,FALSE),VLOOKUP(Exam_14,Sum_Accuracy,16,FALSE))</f>
        <v>#VALUE!</v>
      </c>
      <c r="F78" s="55" t="e">
        <f>0.2*AVERAGE(VLOOKUP(Exam_14,Sum_Accuracy,15,FALSE),VLOOKUP(Exam_14,Sum_Accuracy,16,FALSE))</f>
        <v>#VALUE!</v>
      </c>
      <c r="G78" s="55" t="e">
        <f>0.2*AVERAGE(VLOOKUP(Exam_14,Sum_Accuracy,15,FALSE),VLOOKUP(Exam_14,Sum_Accuracy,16,FALSE))</f>
        <v>#VALUE!</v>
      </c>
    </row>
    <row r="79" spans="2:7" ht="13.5" customHeight="1">
      <c r="B79" s="51" t="s">
        <v>66</v>
      </c>
      <c r="C79" s="55" t="e">
        <f>VLOOKUP(Exam_14,Sum_Accuracy,8,FALSE)/5</f>
        <v>#VALUE!</v>
      </c>
      <c r="D79" s="55" t="e">
        <f>VLOOKUP(Exam_14,Sum_Accuracy,8,FALSE)/5</f>
        <v>#VALUE!</v>
      </c>
      <c r="E79" s="55" t="e">
        <f>VLOOKUP(Exam_14,Sum_Accuracy,8,FALSE)/5</f>
        <v>#VALUE!</v>
      </c>
      <c r="F79" s="55" t="e">
        <f>VLOOKUP(Exam_14,Sum_Accuracy,8,FALSE)/5</f>
        <v>#VALUE!</v>
      </c>
      <c r="G79" s="55" t="e">
        <f>VLOOKUP(Exam_14,Sum_Accuracy,8,FALSE)/5</f>
        <v>#VALUE!</v>
      </c>
    </row>
    <row r="80" spans="2:7" ht="13.5" customHeight="1">
      <c r="B80" s="241"/>
      <c r="C80" s="241"/>
      <c r="D80" s="241"/>
      <c r="E80" s="241"/>
      <c r="F80" s="241"/>
      <c r="G80" s="241"/>
    </row>
    <row r="82" spans="2:7" ht="13.5" customHeight="1">
      <c r="B82" s="245" t="s">
        <v>67</v>
      </c>
      <c r="C82" s="245"/>
      <c r="D82" s="245"/>
      <c r="E82" s="245"/>
      <c r="F82" s="245"/>
      <c r="G82" s="245"/>
    </row>
    <row r="83" spans="2:7" ht="13.5" customHeight="1">
      <c r="B83" s="246"/>
      <c r="C83" s="246"/>
      <c r="D83" s="246"/>
      <c r="E83" s="246"/>
      <c r="F83" s="246"/>
      <c r="G83" s="246"/>
    </row>
    <row r="84" spans="2:7" ht="13.5" customHeight="1">
      <c r="B84" s="52" t="s">
        <v>71</v>
      </c>
      <c r="C84" s="242" t="str">
        <f>BeerName1</f>
        <v>Style1</v>
      </c>
      <c r="D84" s="242"/>
      <c r="E84" s="242"/>
      <c r="F84" s="242"/>
      <c r="G84" s="242"/>
    </row>
    <row r="85" spans="2:7" ht="13.5" customHeight="1">
      <c r="B85" s="241"/>
      <c r="C85" s="241"/>
      <c r="D85" s="241"/>
      <c r="E85" s="241"/>
      <c r="F85" s="241"/>
      <c r="G85" s="241"/>
    </row>
    <row r="86" spans="2:7" ht="13.5" customHeight="1">
      <c r="B86" s="50" t="s">
        <v>68</v>
      </c>
      <c r="C86" s="54" t="s">
        <v>58</v>
      </c>
      <c r="D86" s="54" t="s">
        <v>59</v>
      </c>
      <c r="E86" s="54" t="s">
        <v>60</v>
      </c>
      <c r="F86" s="54" t="s">
        <v>61</v>
      </c>
      <c r="G86" s="54" t="s">
        <v>62</v>
      </c>
    </row>
    <row r="87" spans="2:7" ht="13.5" customHeight="1">
      <c r="B87" s="51" t="s">
        <v>63</v>
      </c>
      <c r="C87" s="55" t="e">
        <f>VLOOKUP(Exam_14,AverageScores,b1_perception,FALSE)</f>
        <v>#DIV/0!</v>
      </c>
      <c r="D87" s="55" t="e">
        <f>VLOOKUP(Exam_14,AverageScores,b1_perception,FALSE)</f>
        <v>#DIV/0!</v>
      </c>
      <c r="E87" s="55" t="e">
        <f>VLOOKUP(Exam_14,AverageScores,b1_perception,FALSE)</f>
        <v>#DIV/0!</v>
      </c>
      <c r="F87" s="55" t="e">
        <f>VLOOKUP(Exam_14,AverageScores,b1_perception,FALSE)</f>
        <v>#DIV/0!</v>
      </c>
      <c r="G87" s="55" t="e">
        <f>VLOOKUP(Exam_14,AverageScores,b1_perception,FALSE)</f>
        <v>#DIV/0!</v>
      </c>
    </row>
    <row r="88" spans="2:7" ht="13.5" customHeight="1">
      <c r="B88" s="51" t="s">
        <v>69</v>
      </c>
      <c r="C88" s="55" t="e">
        <f>VLOOKUP(Exam_14,AverageScores,b1_descriptive,FALSE)</f>
        <v>#DIV/0!</v>
      </c>
      <c r="D88" s="55" t="e">
        <f>VLOOKUP(Exam_14,AverageScores,b1_descriptive,FALSE)</f>
        <v>#DIV/0!</v>
      </c>
      <c r="E88" s="55" t="e">
        <f>VLOOKUP(Exam_14,AverageScores,b1_descriptive,FALSE)</f>
        <v>#DIV/0!</v>
      </c>
      <c r="F88" s="55" t="e">
        <f>VLOOKUP(Exam_14,AverageScores,b1_descriptive,FALSE)</f>
        <v>#DIV/0!</v>
      </c>
      <c r="G88" s="55" t="e">
        <f>VLOOKUP(Exam_14,AverageScores,b1_descriptive,FALSE)</f>
        <v>#DIV/0!</v>
      </c>
    </row>
    <row r="89" spans="2:7" ht="13.5" customHeight="1">
      <c r="B89" s="51" t="s">
        <v>64</v>
      </c>
      <c r="C89" s="55" t="e">
        <f>VLOOKUP(Exam_14,AverageScores,b1_feedback,FALSE)</f>
        <v>#DIV/0!</v>
      </c>
      <c r="D89" s="55" t="e">
        <f>VLOOKUP(Exam_14,AverageScores,b1_feedback,FALSE)</f>
        <v>#DIV/0!</v>
      </c>
      <c r="E89" s="55" t="e">
        <f>VLOOKUP(Exam_14,AverageScores,b1_feedback,FALSE)</f>
        <v>#DIV/0!</v>
      </c>
      <c r="F89" s="55" t="e">
        <f>VLOOKUP(Exam_14,AverageScores,b1_feedback,FALSE)</f>
        <v>#DIV/0!</v>
      </c>
      <c r="G89" s="55" t="e">
        <f>VLOOKUP(Exam_14,AverageScores,b1_feedback,FALSE)</f>
        <v>#DIV/0!</v>
      </c>
    </row>
    <row r="90" spans="2:7" ht="13.5" customHeight="1">
      <c r="B90" s="51" t="s">
        <v>65</v>
      </c>
      <c r="C90" s="55" t="e">
        <f>VLOOKUP(Exam_14,AverageScores,b1_completeness,FALSE)</f>
        <v>#DIV/0!</v>
      </c>
      <c r="D90" s="55" t="e">
        <f>VLOOKUP(Exam_14,AverageScores,b1_completeness,FALSE)</f>
        <v>#DIV/0!</v>
      </c>
      <c r="E90" s="55" t="e">
        <f>VLOOKUP(Exam_14,AverageScores,b1_completeness,FALSE)</f>
        <v>#DIV/0!</v>
      </c>
      <c r="F90" s="55" t="e">
        <f>VLOOKUP(Exam_14,AverageScores,b1_completeness,FALSE)</f>
        <v>#DIV/0!</v>
      </c>
      <c r="G90" s="55" t="e">
        <f>VLOOKUP(Exam_14,AverageScores,b1_completeness,FALSE)</f>
        <v>#DIV/0!</v>
      </c>
    </row>
    <row r="91" spans="2:7" ht="13.5" customHeight="1">
      <c r="B91" s="51" t="s">
        <v>66</v>
      </c>
      <c r="C91" s="55">
        <f>VLOOKUP(Exam_14,ScoringAccuracyTable,b1_accuracy,FALSE)</f>
      </c>
      <c r="D91" s="55">
        <f>VLOOKUP(Exam_14,ScoringAccuracyTable,b1_accuracy,FALSE)</f>
      </c>
      <c r="E91" s="55">
        <f>VLOOKUP(Exam_14,ScoringAccuracyTable,b1_accuracy,FALSE)</f>
      </c>
      <c r="F91" s="55">
        <f>VLOOKUP(Exam_14,ScoringAccuracyTable,b1_accuracy,FALSE)</f>
      </c>
      <c r="G91" s="55">
        <f>VLOOKUP(Exam_14,ScoringAccuracyTable,b1_accuracy,FALSE)</f>
      </c>
    </row>
    <row r="92" spans="2:7" ht="13.5" customHeight="1">
      <c r="B92" s="241"/>
      <c r="C92" s="241"/>
      <c r="D92" s="241"/>
      <c r="E92" s="241"/>
      <c r="F92" s="241"/>
      <c r="G92" s="241"/>
    </row>
    <row r="93" spans="2:7" ht="13.5" customHeight="1">
      <c r="B93" s="52" t="s">
        <v>72</v>
      </c>
      <c r="C93" s="242" t="str">
        <f>BeerName2</f>
        <v>Style2</v>
      </c>
      <c r="D93" s="242"/>
      <c r="E93" s="242"/>
      <c r="F93" s="242"/>
      <c r="G93" s="242"/>
    </row>
    <row r="94" spans="2:7" ht="13.5" customHeight="1">
      <c r="B94" s="247"/>
      <c r="C94" s="247"/>
      <c r="D94" s="247"/>
      <c r="E94" s="247"/>
      <c r="F94" s="247"/>
      <c r="G94" s="247"/>
    </row>
    <row r="95" spans="2:7" ht="13.5" customHeight="1">
      <c r="B95" s="50" t="s">
        <v>68</v>
      </c>
      <c r="C95" s="56" t="s">
        <v>58</v>
      </c>
      <c r="D95" s="56" t="s">
        <v>59</v>
      </c>
      <c r="E95" s="56" t="s">
        <v>60</v>
      </c>
      <c r="F95" s="56" t="s">
        <v>61</v>
      </c>
      <c r="G95" s="56" t="s">
        <v>62</v>
      </c>
    </row>
    <row r="96" spans="2:7" ht="13.5" customHeight="1">
      <c r="B96" s="51" t="s">
        <v>63</v>
      </c>
      <c r="C96" s="55" t="e">
        <f>VLOOKUP(Exam_14,AverageScores,b2_perceptive,FALSE)</f>
        <v>#DIV/0!</v>
      </c>
      <c r="D96" s="55" t="e">
        <f>VLOOKUP(Exam_14,AverageScores,b2_perceptive,FALSE)</f>
        <v>#DIV/0!</v>
      </c>
      <c r="E96" s="55" t="e">
        <f>VLOOKUP(Exam_14,AverageScores,b2_perceptive,FALSE)</f>
        <v>#DIV/0!</v>
      </c>
      <c r="F96" s="55" t="e">
        <f>VLOOKUP(Exam_14,AverageScores,b2_perceptive,FALSE)</f>
        <v>#DIV/0!</v>
      </c>
      <c r="G96" s="55" t="e">
        <f>VLOOKUP(Exam_14,AverageScores,b2_perceptive,FALSE)</f>
        <v>#DIV/0!</v>
      </c>
    </row>
    <row r="97" spans="2:7" ht="13.5" customHeight="1">
      <c r="B97" s="51" t="s">
        <v>69</v>
      </c>
      <c r="C97" s="55" t="e">
        <f>VLOOKUP(Exam_14,AverageScores,b2_descriptive,FALSE)</f>
        <v>#DIV/0!</v>
      </c>
      <c r="D97" s="55" t="e">
        <f>VLOOKUP(Exam_14,AverageScores,b2_descriptive,FALSE)</f>
        <v>#DIV/0!</v>
      </c>
      <c r="E97" s="55" t="e">
        <f>VLOOKUP(Exam_14,AverageScores,b2_descriptive,FALSE)</f>
        <v>#DIV/0!</v>
      </c>
      <c r="F97" s="55" t="e">
        <f>VLOOKUP(Exam_14,AverageScores,b2_descriptive,FALSE)</f>
        <v>#DIV/0!</v>
      </c>
      <c r="G97" s="55" t="e">
        <f>VLOOKUP(Exam_14,AverageScores,b2_descriptive,FALSE)</f>
        <v>#DIV/0!</v>
      </c>
    </row>
    <row r="98" spans="2:7" ht="13.5" customHeight="1">
      <c r="B98" s="51" t="s">
        <v>64</v>
      </c>
      <c r="C98" s="55" t="e">
        <f>VLOOKUP(Exam_14,AverageScores,b2_feedback,FALSE)</f>
        <v>#DIV/0!</v>
      </c>
      <c r="D98" s="55" t="e">
        <f>VLOOKUP(Exam_14,AverageScores,b2_feedback,FALSE)</f>
        <v>#DIV/0!</v>
      </c>
      <c r="E98" s="55" t="e">
        <f>VLOOKUP(Exam_14,AverageScores,b2_feedback,FALSE)</f>
        <v>#DIV/0!</v>
      </c>
      <c r="F98" s="55" t="e">
        <f>VLOOKUP(Exam_14,AverageScores,b2_feedback,FALSE)</f>
        <v>#DIV/0!</v>
      </c>
      <c r="G98" s="55" t="e">
        <f>VLOOKUP(Exam_14,AverageScores,b2_feedback,FALSE)</f>
        <v>#DIV/0!</v>
      </c>
    </row>
    <row r="99" spans="2:7" ht="13.5" customHeight="1">
      <c r="B99" s="51" t="s">
        <v>65</v>
      </c>
      <c r="C99" s="55" t="e">
        <f>VLOOKUP(Exam_14,AverageScores,b2_completeness,FALSE)</f>
        <v>#DIV/0!</v>
      </c>
      <c r="D99" s="55" t="e">
        <f>VLOOKUP(Exam_14,AverageScores,b2_completeness,FALSE)</f>
        <v>#DIV/0!</v>
      </c>
      <c r="E99" s="55" t="e">
        <f>VLOOKUP(Exam_14,AverageScores,b2_completeness,FALSE)</f>
        <v>#DIV/0!</v>
      </c>
      <c r="F99" s="55" t="e">
        <f>VLOOKUP(Exam_14,AverageScores,b2_completeness,FALSE)</f>
        <v>#DIV/0!</v>
      </c>
      <c r="G99" s="55" t="e">
        <f>VLOOKUP(Exam_14,AverageScores,b2_completeness,FALSE)</f>
        <v>#DIV/0!</v>
      </c>
    </row>
    <row r="100" spans="2:7" ht="13.5" customHeight="1">
      <c r="B100" s="51" t="s">
        <v>66</v>
      </c>
      <c r="C100" s="55">
        <f>VLOOKUP(Exam_14,ScoringAccuracyTable,b2_accuracy,FALSE)</f>
      </c>
      <c r="D100" s="55">
        <f>VLOOKUP(Exam_14,ScoringAccuracyTable,b2_accuracy,FALSE)</f>
      </c>
      <c r="E100" s="55">
        <f>VLOOKUP(Exam_14,ScoringAccuracyTable,b2_accuracy,FALSE)</f>
      </c>
      <c r="F100" s="55">
        <f>VLOOKUP(Exam_14,ScoringAccuracyTable,b2_accuracy,FALSE)</f>
      </c>
      <c r="G100" s="55">
        <f>VLOOKUP(Exam_14,ScoringAccuracyTable,b2_accuracy,FALSE)</f>
      </c>
    </row>
    <row r="101" spans="2:7" ht="13.5" customHeight="1">
      <c r="B101" s="241"/>
      <c r="C101" s="241"/>
      <c r="D101" s="241"/>
      <c r="E101" s="241"/>
      <c r="F101" s="241"/>
      <c r="G101" s="241"/>
    </row>
    <row r="102" spans="2:7" ht="13.5" customHeight="1">
      <c r="B102" s="52" t="s">
        <v>76</v>
      </c>
      <c r="C102" s="242" t="str">
        <f>BeerName3</f>
        <v>Style3</v>
      </c>
      <c r="D102" s="242"/>
      <c r="E102" s="242"/>
      <c r="F102" s="242"/>
      <c r="G102" s="242"/>
    </row>
    <row r="103" spans="2:7" ht="13.5" customHeight="1">
      <c r="B103" s="247"/>
      <c r="C103" s="247"/>
      <c r="D103" s="247"/>
      <c r="E103" s="247"/>
      <c r="F103" s="247"/>
      <c r="G103" s="247"/>
    </row>
    <row r="104" spans="2:7" ht="13.5" customHeight="1">
      <c r="B104" s="50" t="s">
        <v>68</v>
      </c>
      <c r="C104" s="54" t="s">
        <v>58</v>
      </c>
      <c r="D104" s="54" t="s">
        <v>59</v>
      </c>
      <c r="E104" s="54" t="s">
        <v>60</v>
      </c>
      <c r="F104" s="54" t="s">
        <v>61</v>
      </c>
      <c r="G104" s="54" t="s">
        <v>62</v>
      </c>
    </row>
    <row r="105" spans="2:7" ht="13.5" customHeight="1">
      <c r="B105" s="51" t="s">
        <v>63</v>
      </c>
      <c r="C105" s="55" t="e">
        <f>VLOOKUP(Exam_14,AverageScores,b3_perception,FALSE)</f>
        <v>#DIV/0!</v>
      </c>
      <c r="D105" s="55" t="e">
        <f>VLOOKUP(Exam_14,AverageScores,b3_perception,FALSE)</f>
        <v>#DIV/0!</v>
      </c>
      <c r="E105" s="55" t="e">
        <f>VLOOKUP(Exam_14,AverageScores,b3_perception,FALSE)</f>
        <v>#DIV/0!</v>
      </c>
      <c r="F105" s="55" t="e">
        <f>VLOOKUP(Exam_14,AverageScores,b3_perception,FALSE)</f>
        <v>#DIV/0!</v>
      </c>
      <c r="G105" s="55" t="e">
        <f>VLOOKUP(Exam_14,AverageScores,b3_perception,FALSE)</f>
        <v>#DIV/0!</v>
      </c>
    </row>
    <row r="106" spans="2:7" ht="13.5" customHeight="1">
      <c r="B106" s="51" t="s">
        <v>69</v>
      </c>
      <c r="C106" s="55" t="e">
        <f>VLOOKUP(Exam_14,AverageScores,b3_descriptive,FALSE)</f>
        <v>#DIV/0!</v>
      </c>
      <c r="D106" s="55" t="e">
        <f>VLOOKUP(Exam_14,AverageScores,b3_descriptive,FALSE)</f>
        <v>#DIV/0!</v>
      </c>
      <c r="E106" s="55" t="e">
        <f>VLOOKUP(Exam_14,AverageScores,b3_descriptive,FALSE)</f>
        <v>#DIV/0!</v>
      </c>
      <c r="F106" s="55" t="e">
        <f>VLOOKUP(Exam_14,AverageScores,b3_descriptive,FALSE)</f>
        <v>#DIV/0!</v>
      </c>
      <c r="G106" s="55" t="e">
        <f>VLOOKUP(Exam_14,AverageScores,b3_descriptive,FALSE)</f>
        <v>#DIV/0!</v>
      </c>
    </row>
    <row r="107" spans="2:7" ht="13.5" customHeight="1">
      <c r="B107" s="51" t="s">
        <v>64</v>
      </c>
      <c r="C107" s="55" t="e">
        <f>VLOOKUP(Exam_14,AverageScores,b3_feedback,FALSE)</f>
        <v>#DIV/0!</v>
      </c>
      <c r="D107" s="55" t="e">
        <f>VLOOKUP(Exam_14,AverageScores,b3_feedback,FALSE)</f>
        <v>#DIV/0!</v>
      </c>
      <c r="E107" s="55" t="e">
        <f>VLOOKUP(Exam_14,AverageScores,b3_feedback,FALSE)</f>
        <v>#DIV/0!</v>
      </c>
      <c r="F107" s="55" t="e">
        <f>VLOOKUP(Exam_14,AverageScores,b3_feedback,FALSE)</f>
        <v>#DIV/0!</v>
      </c>
      <c r="G107" s="55" t="e">
        <f>VLOOKUP(Exam_14,AverageScores,b3_feedback,FALSE)</f>
        <v>#DIV/0!</v>
      </c>
    </row>
    <row r="108" spans="2:7" ht="13.5" customHeight="1">
      <c r="B108" s="51" t="s">
        <v>65</v>
      </c>
      <c r="C108" s="55" t="e">
        <f>VLOOKUP(Exam_14,AverageScores,b3_completeness,FALSE)</f>
        <v>#DIV/0!</v>
      </c>
      <c r="D108" s="55" t="e">
        <f>VLOOKUP(Exam_14,AverageScores,b3_completeness,FALSE)</f>
        <v>#DIV/0!</v>
      </c>
      <c r="E108" s="55" t="e">
        <f>VLOOKUP(Exam_14,AverageScores,b3_completeness,FALSE)</f>
        <v>#DIV/0!</v>
      </c>
      <c r="F108" s="55" t="e">
        <f>VLOOKUP(Exam_14,AverageScores,b3_completeness,FALSE)</f>
        <v>#DIV/0!</v>
      </c>
      <c r="G108" s="55" t="e">
        <f>VLOOKUP(Exam_14,AverageScores,b3_completeness,FALSE)</f>
        <v>#DIV/0!</v>
      </c>
    </row>
    <row r="109" spans="2:7" ht="13.5" customHeight="1">
      <c r="B109" s="51" t="s">
        <v>66</v>
      </c>
      <c r="C109" s="55">
        <f>VLOOKUP(Exam_14,ScoringAccuracyTable,b3_accuracy,FALSE)</f>
      </c>
      <c r="D109" s="55">
        <f>VLOOKUP(Exam_14,ScoringAccuracyTable,b3_accuracy,FALSE)</f>
      </c>
      <c r="E109" s="55">
        <f>VLOOKUP(Exam_14,ScoringAccuracyTable,b3_accuracy,FALSE)</f>
      </c>
      <c r="F109" s="55">
        <f>VLOOKUP(Exam_14,ScoringAccuracyTable,b3_accuracy,FALSE)</f>
      </c>
      <c r="G109" s="55">
        <f>VLOOKUP(Exam_14,ScoringAccuracyTable,b3_accuracy,FALSE)</f>
      </c>
    </row>
    <row r="110" spans="2:7" ht="13.5" customHeight="1">
      <c r="B110" s="241"/>
      <c r="C110" s="241"/>
      <c r="D110" s="241"/>
      <c r="E110" s="241"/>
      <c r="F110" s="241"/>
      <c r="G110" s="241"/>
    </row>
    <row r="111" spans="2:7" ht="13.5" customHeight="1">
      <c r="B111" s="52" t="s">
        <v>75</v>
      </c>
      <c r="C111" s="242" t="str">
        <f>BeerName4</f>
        <v>Style4</v>
      </c>
      <c r="D111" s="242"/>
      <c r="E111" s="242"/>
      <c r="F111" s="242"/>
      <c r="G111" s="242"/>
    </row>
    <row r="112" spans="2:7" ht="13.5" customHeight="1">
      <c r="B112" s="241"/>
      <c r="C112" s="241"/>
      <c r="D112" s="241"/>
      <c r="E112" s="241"/>
      <c r="F112" s="241"/>
      <c r="G112" s="241"/>
    </row>
    <row r="113" spans="2:7" ht="13.5" customHeight="1">
      <c r="B113" s="50" t="s">
        <v>68</v>
      </c>
      <c r="C113" s="54" t="s">
        <v>58</v>
      </c>
      <c r="D113" s="54" t="s">
        <v>59</v>
      </c>
      <c r="E113" s="54" t="s">
        <v>60</v>
      </c>
      <c r="F113" s="54" t="s">
        <v>61</v>
      </c>
      <c r="G113" s="54" t="s">
        <v>62</v>
      </c>
    </row>
    <row r="114" spans="2:7" ht="13.5" customHeight="1">
      <c r="B114" s="51" t="s">
        <v>63</v>
      </c>
      <c r="C114" s="55" t="e">
        <f>VLOOKUP(Exam_14,AverageScores,b4_perception,FALSE)</f>
        <v>#DIV/0!</v>
      </c>
      <c r="D114" s="55" t="e">
        <f>VLOOKUP(Exam_14,AverageScores,b4_perception,FALSE)</f>
        <v>#DIV/0!</v>
      </c>
      <c r="E114" s="55" t="e">
        <f>VLOOKUP(Exam_14,AverageScores,b4_perception,FALSE)</f>
        <v>#DIV/0!</v>
      </c>
      <c r="F114" s="55" t="e">
        <f>VLOOKUP(Exam_14,AverageScores,b4_perception,FALSE)</f>
        <v>#DIV/0!</v>
      </c>
      <c r="G114" s="55" t="e">
        <f>VLOOKUP(Exam_14,AverageScores,b4_perception,FALSE)</f>
        <v>#DIV/0!</v>
      </c>
    </row>
    <row r="115" spans="2:7" ht="13.5" customHeight="1">
      <c r="B115" s="51" t="s">
        <v>69</v>
      </c>
      <c r="C115" s="55" t="e">
        <f>VLOOKUP(Exam_14,AverageScores,b4_descriptive,FALSE)</f>
        <v>#DIV/0!</v>
      </c>
      <c r="D115" s="55" t="e">
        <f>VLOOKUP(Exam_14,AverageScores,b4_descriptive,FALSE)</f>
        <v>#DIV/0!</v>
      </c>
      <c r="E115" s="55" t="e">
        <f>VLOOKUP(Exam_14,AverageScores,b4_descriptive,FALSE)</f>
        <v>#DIV/0!</v>
      </c>
      <c r="F115" s="55" t="e">
        <f>VLOOKUP(Exam_14,AverageScores,b4_descriptive,FALSE)</f>
        <v>#DIV/0!</v>
      </c>
      <c r="G115" s="55" t="e">
        <f>VLOOKUP(Exam_14,AverageScores,b4_descriptive,FALSE)</f>
        <v>#DIV/0!</v>
      </c>
    </row>
    <row r="116" spans="2:7" ht="13.5" customHeight="1">
      <c r="B116" s="51" t="s">
        <v>64</v>
      </c>
      <c r="C116" s="55" t="e">
        <f>VLOOKUP(Exam_14,AverageScores,b4_feedback,FALSE)</f>
        <v>#DIV/0!</v>
      </c>
      <c r="D116" s="55" t="e">
        <f>VLOOKUP(Exam_14,AverageScores,b4_feedback,FALSE)</f>
        <v>#DIV/0!</v>
      </c>
      <c r="E116" s="55" t="e">
        <f>VLOOKUP(Exam_14,AverageScores,b4_feedback,FALSE)</f>
        <v>#DIV/0!</v>
      </c>
      <c r="F116" s="55" t="e">
        <f>VLOOKUP(Exam_14,AverageScores,b4_feedback,FALSE)</f>
        <v>#DIV/0!</v>
      </c>
      <c r="G116" s="55" t="e">
        <f>VLOOKUP(Exam_14,AverageScores,b4_feedback,FALSE)</f>
        <v>#DIV/0!</v>
      </c>
    </row>
    <row r="117" spans="2:7" ht="13.5" customHeight="1">
      <c r="B117" s="51" t="s">
        <v>65</v>
      </c>
      <c r="C117" s="55" t="e">
        <f>VLOOKUP(Exam_14,AverageScores,b4_completeness,FALSE)</f>
        <v>#DIV/0!</v>
      </c>
      <c r="D117" s="55" t="e">
        <f>VLOOKUP(Exam_14,AverageScores,b4_completeness,FALSE)</f>
        <v>#DIV/0!</v>
      </c>
      <c r="E117" s="55" t="e">
        <f>VLOOKUP(Exam_14,AverageScores,b4_completeness,FALSE)</f>
        <v>#DIV/0!</v>
      </c>
      <c r="F117" s="55" t="e">
        <f>VLOOKUP(Exam_14,AverageScores,b4_completeness,FALSE)</f>
        <v>#DIV/0!</v>
      </c>
      <c r="G117" s="55" t="e">
        <f>VLOOKUP(Exam_14,AverageScores,b4_completeness,FALSE)</f>
        <v>#DIV/0!</v>
      </c>
    </row>
    <row r="118" spans="2:7" ht="13.5" customHeight="1">
      <c r="B118" s="51" t="s">
        <v>66</v>
      </c>
      <c r="C118" s="55">
        <f>VLOOKUP(Exam_14,ScoringAccuracyTable,b4_accuracy,FALSE)</f>
      </c>
      <c r="D118" s="55">
        <f>VLOOKUP(Exam_14,ScoringAccuracyTable,b4_accuracy,FALSE)</f>
      </c>
      <c r="E118" s="55">
        <f>VLOOKUP(Exam_14,ScoringAccuracyTable,b4_accuracy,FALSE)</f>
      </c>
      <c r="F118" s="55">
        <f>VLOOKUP(Exam_14,ScoringAccuracyTable,b4_accuracy,FALSE)</f>
      </c>
      <c r="G118" s="55">
        <f>VLOOKUP(Exam_14,ScoringAccuracyTable,b4_accuracy,FALSE)</f>
      </c>
    </row>
    <row r="119" spans="2:7" ht="13.5" customHeight="1">
      <c r="B119" s="241"/>
      <c r="C119" s="241"/>
      <c r="D119" s="241"/>
      <c r="E119" s="241"/>
      <c r="F119" s="241"/>
      <c r="G119" s="241"/>
    </row>
    <row r="123" spans="2:7" ht="13.5" customHeight="1">
      <c r="B123" s="52" t="s">
        <v>74</v>
      </c>
      <c r="C123" s="242" t="str">
        <f>BeerName5</f>
        <v>Style5</v>
      </c>
      <c r="D123" s="242"/>
      <c r="E123" s="242"/>
      <c r="F123" s="242"/>
      <c r="G123" s="242"/>
    </row>
    <row r="124" spans="2:7" ht="13.5" customHeight="1">
      <c r="B124" s="241"/>
      <c r="C124" s="241"/>
      <c r="D124" s="241"/>
      <c r="E124" s="241"/>
      <c r="F124" s="241"/>
      <c r="G124" s="241"/>
    </row>
    <row r="125" spans="2:7" ht="13.5" customHeight="1">
      <c r="B125" s="50" t="s">
        <v>68</v>
      </c>
      <c r="C125" s="54" t="s">
        <v>58</v>
      </c>
      <c r="D125" s="54" t="s">
        <v>59</v>
      </c>
      <c r="E125" s="54" t="s">
        <v>60</v>
      </c>
      <c r="F125" s="54" t="s">
        <v>61</v>
      </c>
      <c r="G125" s="54" t="s">
        <v>62</v>
      </c>
    </row>
    <row r="126" spans="2:7" ht="13.5" customHeight="1">
      <c r="B126" s="51" t="s">
        <v>63</v>
      </c>
      <c r="C126" s="55" t="e">
        <f>VLOOKUP(Exam_14,AverageScores,b5_perception,FALSE)</f>
        <v>#DIV/0!</v>
      </c>
      <c r="D126" s="55" t="e">
        <f>VLOOKUP(Exam_14,AverageScores,b5_perception,FALSE)</f>
        <v>#DIV/0!</v>
      </c>
      <c r="E126" s="55" t="e">
        <f>VLOOKUP(Exam_14,AverageScores,b5_perception,FALSE)</f>
        <v>#DIV/0!</v>
      </c>
      <c r="F126" s="55" t="e">
        <f>VLOOKUP(Exam_14,AverageScores,b5_perception,FALSE)</f>
        <v>#DIV/0!</v>
      </c>
      <c r="G126" s="55" t="e">
        <f>VLOOKUP(Exam_14,AverageScores,b5_perception,FALSE)</f>
        <v>#DIV/0!</v>
      </c>
    </row>
    <row r="127" spans="2:7" ht="13.5" customHeight="1">
      <c r="B127" s="51" t="s">
        <v>69</v>
      </c>
      <c r="C127" s="55" t="e">
        <f>VLOOKUP(Exam_14,AverageScores,b5_descriptive,FALSE)</f>
        <v>#DIV/0!</v>
      </c>
      <c r="D127" s="55" t="e">
        <f>VLOOKUP(Exam_14,AverageScores,b5_descriptive,FALSE)</f>
        <v>#DIV/0!</v>
      </c>
      <c r="E127" s="55" t="e">
        <f>VLOOKUP(Exam_14,AverageScores,b5_descriptive,FALSE)</f>
        <v>#DIV/0!</v>
      </c>
      <c r="F127" s="55" t="e">
        <f>VLOOKUP(Exam_14,AverageScores,b5_descriptive,FALSE)</f>
        <v>#DIV/0!</v>
      </c>
      <c r="G127" s="55" t="e">
        <f>VLOOKUP(Exam_14,AverageScores,b5_descriptive,FALSE)</f>
        <v>#DIV/0!</v>
      </c>
    </row>
    <row r="128" spans="2:7" ht="13.5" customHeight="1">
      <c r="B128" s="51" t="s">
        <v>64</v>
      </c>
      <c r="C128" s="55" t="e">
        <f>VLOOKUP(Exam_14,AverageScores,b5_feedback,FALSE)</f>
        <v>#DIV/0!</v>
      </c>
      <c r="D128" s="55" t="e">
        <f>VLOOKUP(Exam_14,AverageScores,b5_feedback,FALSE)</f>
        <v>#DIV/0!</v>
      </c>
      <c r="E128" s="55" t="e">
        <f>VLOOKUP(Exam_14,AverageScores,b5_feedback,FALSE)</f>
        <v>#DIV/0!</v>
      </c>
      <c r="F128" s="55" t="e">
        <f>VLOOKUP(Exam_14,AverageScores,b5_feedback,FALSE)</f>
        <v>#DIV/0!</v>
      </c>
      <c r="G128" s="55" t="e">
        <f>VLOOKUP(Exam_14,AverageScores,b5_feedback,FALSE)</f>
        <v>#DIV/0!</v>
      </c>
    </row>
    <row r="129" spans="2:7" ht="13.5" customHeight="1">
      <c r="B129" s="51" t="s">
        <v>65</v>
      </c>
      <c r="C129" s="55" t="e">
        <f>VLOOKUP(Exam_14,AverageScores,b5_completeness,FALSE)</f>
        <v>#DIV/0!</v>
      </c>
      <c r="D129" s="55" t="e">
        <f>VLOOKUP(Exam_14,AverageScores,b5_completeness,FALSE)</f>
        <v>#DIV/0!</v>
      </c>
      <c r="E129" s="55" t="e">
        <f>VLOOKUP(Exam_14,AverageScores,b5_completeness,FALSE)</f>
        <v>#DIV/0!</v>
      </c>
      <c r="F129" s="55" t="e">
        <f>VLOOKUP(Exam_14,AverageScores,b5_completeness,FALSE)</f>
        <v>#DIV/0!</v>
      </c>
      <c r="G129" s="55" t="e">
        <f>VLOOKUP(Exam_14,AverageScores,b5_completeness,FALSE)</f>
        <v>#DIV/0!</v>
      </c>
    </row>
    <row r="130" spans="2:7" ht="13.5" customHeight="1">
      <c r="B130" s="51" t="s">
        <v>66</v>
      </c>
      <c r="C130" s="55">
        <f>VLOOKUP(Exam_14,ScoringAccuracyTable,b5_accuracy,FALSE)</f>
      </c>
      <c r="D130" s="55">
        <f>VLOOKUP(Exam_14,ScoringAccuracyTable,b5_accuracy,FALSE)</f>
      </c>
      <c r="E130" s="55">
        <f>VLOOKUP(Exam_14,ScoringAccuracyTable,b5_accuracy,FALSE)</f>
      </c>
      <c r="F130" s="55">
        <f>VLOOKUP(Exam_14,ScoringAccuracyTable,b5_accuracy,FALSE)</f>
      </c>
      <c r="G130" s="55">
        <f>VLOOKUP(Exam_14,ScoringAccuracyTable,b5_accuracy,FALSE)</f>
      </c>
    </row>
    <row r="131" spans="2:7" ht="13.5" customHeight="1">
      <c r="B131" s="241"/>
      <c r="C131" s="241"/>
      <c r="D131" s="241"/>
      <c r="E131" s="241"/>
      <c r="F131" s="241"/>
      <c r="G131" s="241"/>
    </row>
    <row r="132" spans="2:7" ht="13.5" customHeight="1">
      <c r="B132" s="52" t="s">
        <v>73</v>
      </c>
      <c r="C132" s="242" t="str">
        <f>BeerName6</f>
        <v>Style6</v>
      </c>
      <c r="D132" s="242"/>
      <c r="E132" s="242"/>
      <c r="F132" s="242"/>
      <c r="G132" s="242"/>
    </row>
    <row r="133" spans="2:7" ht="13.5" customHeight="1">
      <c r="B133" s="241"/>
      <c r="C133" s="241"/>
      <c r="D133" s="241"/>
      <c r="E133" s="241"/>
      <c r="F133" s="241"/>
      <c r="G133" s="241"/>
    </row>
    <row r="134" spans="2:7" ht="13.5" customHeight="1">
      <c r="B134" s="50" t="s">
        <v>68</v>
      </c>
      <c r="C134" s="54" t="s">
        <v>58</v>
      </c>
      <c r="D134" s="54" t="s">
        <v>59</v>
      </c>
      <c r="E134" s="54" t="s">
        <v>60</v>
      </c>
      <c r="F134" s="54" t="s">
        <v>61</v>
      </c>
      <c r="G134" s="54" t="s">
        <v>62</v>
      </c>
    </row>
    <row r="135" spans="2:7" ht="13.5" customHeight="1">
      <c r="B135" s="51" t="s">
        <v>63</v>
      </c>
      <c r="C135" s="55" t="e">
        <f>VLOOKUP(Exam_14,AverageScores,b6_perception,FALSE)</f>
        <v>#DIV/0!</v>
      </c>
      <c r="D135" s="55" t="e">
        <f>VLOOKUP(Exam_14,AverageScores,b6_perception,FALSE)</f>
        <v>#DIV/0!</v>
      </c>
      <c r="E135" s="55" t="e">
        <f>VLOOKUP(Exam_14,AverageScores,b6_perception,FALSE)</f>
        <v>#DIV/0!</v>
      </c>
      <c r="F135" s="55" t="e">
        <f>VLOOKUP(Exam_14,AverageScores,b6_perception,FALSE)</f>
        <v>#DIV/0!</v>
      </c>
      <c r="G135" s="55" t="e">
        <f>VLOOKUP(Exam_14,AverageScores,b6_perception,FALSE)</f>
        <v>#DIV/0!</v>
      </c>
    </row>
    <row r="136" spans="2:7" ht="13.5" customHeight="1">
      <c r="B136" s="51" t="s">
        <v>69</v>
      </c>
      <c r="C136" s="55" t="e">
        <f>VLOOKUP(Exam_14,AverageScores,b6_descriptive,FALSE)</f>
        <v>#DIV/0!</v>
      </c>
      <c r="D136" s="55" t="e">
        <f>VLOOKUP(Exam_14,AverageScores,b6_descriptive,FALSE)</f>
        <v>#DIV/0!</v>
      </c>
      <c r="E136" s="55" t="e">
        <f>VLOOKUP(Exam_14,AverageScores,b6_descriptive,FALSE)</f>
        <v>#DIV/0!</v>
      </c>
      <c r="F136" s="55" t="e">
        <f>VLOOKUP(Exam_14,AverageScores,b6_descriptive,FALSE)</f>
        <v>#DIV/0!</v>
      </c>
      <c r="G136" s="55" t="e">
        <f>VLOOKUP(Exam_14,AverageScores,b6_descriptive,FALSE)</f>
        <v>#DIV/0!</v>
      </c>
    </row>
    <row r="137" spans="2:7" ht="13.5" customHeight="1">
      <c r="B137" s="51" t="s">
        <v>64</v>
      </c>
      <c r="C137" s="55" t="e">
        <f>VLOOKUP(Exam_14,AverageScores,b6_feedback,FALSE)</f>
        <v>#DIV/0!</v>
      </c>
      <c r="D137" s="55" t="e">
        <f>VLOOKUP(Exam_14,AverageScores,b6_feedback,FALSE)</f>
        <v>#DIV/0!</v>
      </c>
      <c r="E137" s="55" t="e">
        <f>VLOOKUP(Exam_14,AverageScores,b6_feedback,FALSE)</f>
        <v>#DIV/0!</v>
      </c>
      <c r="F137" s="55" t="e">
        <f>VLOOKUP(Exam_14,AverageScores,b6_feedback,FALSE)</f>
        <v>#DIV/0!</v>
      </c>
      <c r="G137" s="55" t="e">
        <f>VLOOKUP(Exam_14,AverageScores,b6_feedback,FALSE)</f>
        <v>#DIV/0!</v>
      </c>
    </row>
    <row r="138" spans="2:7" ht="13.5" customHeight="1">
      <c r="B138" s="51" t="s">
        <v>65</v>
      </c>
      <c r="C138" s="55" t="e">
        <f>VLOOKUP(Exam_14,AverageScores,b6_completeness,FALSE)</f>
        <v>#DIV/0!</v>
      </c>
      <c r="D138" s="55" t="e">
        <f>VLOOKUP(Exam_14,AverageScores,b6_completeness,FALSE)</f>
        <v>#DIV/0!</v>
      </c>
      <c r="E138" s="55" t="e">
        <f>VLOOKUP(Exam_14,AverageScores,b6_completeness,FALSE)</f>
        <v>#DIV/0!</v>
      </c>
      <c r="F138" s="55" t="e">
        <f>VLOOKUP(Exam_14,AverageScores,b6_completeness,FALSE)</f>
        <v>#DIV/0!</v>
      </c>
      <c r="G138" s="55" t="e">
        <f>VLOOKUP(Exam_14,AverageScores,b6_completeness,FALSE)</f>
        <v>#DIV/0!</v>
      </c>
    </row>
    <row r="139" spans="2:7" ht="13.5" customHeight="1">
      <c r="B139" s="51" t="s">
        <v>66</v>
      </c>
      <c r="C139" s="55">
        <f>VLOOKUP(Exam_14,ScoringAccuracyTable,b6_accuracy,FALSE)</f>
      </c>
      <c r="D139" s="55">
        <f>VLOOKUP(Exam_14,ScoringAccuracyTable,b6_accuracy,FALSE)</f>
      </c>
      <c r="E139" s="55">
        <f>VLOOKUP(Exam_14,ScoringAccuracyTable,b6_accuracy,FALSE)</f>
      </c>
      <c r="F139" s="55">
        <f>VLOOKUP(Exam_14,ScoringAccuracyTable,b6_accuracy,FALSE)</f>
      </c>
      <c r="G139" s="55">
        <f>VLOOKUP(Exam_14,ScoringAccuracyTable,b6_accuracy,FALSE)</f>
      </c>
    </row>
    <row r="142" spans="1:7" ht="13.5" customHeight="1">
      <c r="A142" s="131" t="s">
        <v>18</v>
      </c>
      <c r="B142" s="243" t="s">
        <v>70</v>
      </c>
      <c r="C142" s="243"/>
      <c r="D142" s="243"/>
      <c r="E142" s="243"/>
      <c r="F142" s="243"/>
      <c r="G142" s="243"/>
    </row>
    <row r="143" spans="1:7" ht="13.5" customHeight="1">
      <c r="A143" s="132">
        <f>Exam_15</f>
        <v>15</v>
      </c>
      <c r="B143" s="244"/>
      <c r="C143" s="244"/>
      <c r="D143" s="244"/>
      <c r="E143" s="244"/>
      <c r="F143" s="244"/>
      <c r="G143" s="244"/>
    </row>
    <row r="144" spans="2:7" ht="13.5" customHeight="1">
      <c r="B144" s="50" t="s">
        <v>68</v>
      </c>
      <c r="C144" s="54" t="s">
        <v>58</v>
      </c>
      <c r="D144" s="54" t="s">
        <v>59</v>
      </c>
      <c r="E144" s="54" t="s">
        <v>60</v>
      </c>
      <c r="F144" s="54" t="s">
        <v>61</v>
      </c>
      <c r="G144" s="54" t="s">
        <v>62</v>
      </c>
    </row>
    <row r="145" spans="2:7" ht="13.5" customHeight="1">
      <c r="B145" s="51" t="s">
        <v>63</v>
      </c>
      <c r="C145" s="55" t="e">
        <f>0.2*AVERAGE(VLOOKUP(Exam_15,Sum_Accuracy,9,FALSE),VLOOKUP(Exam_15,Sum_Accuracy,10,FALSE))</f>
        <v>#VALUE!</v>
      </c>
      <c r="D145" s="55" t="e">
        <f>0.2*AVERAGE(VLOOKUP(Exam_15,Sum_Accuracy,9,FALSE),VLOOKUP(Exam_15,Sum_Accuracy,10,FALSE))</f>
        <v>#VALUE!</v>
      </c>
      <c r="E145" s="55" t="e">
        <f>0.2*AVERAGE(VLOOKUP(Exam_15,Sum_Accuracy,9,FALSE),VLOOKUP(Exam_15,Sum_Accuracy,10,FALSE))</f>
        <v>#VALUE!</v>
      </c>
      <c r="F145" s="55" t="e">
        <f>0.2*AVERAGE(VLOOKUP(Exam_15,Sum_Accuracy,9,FALSE),VLOOKUP(Exam_15,Sum_Accuracy,10,FALSE))</f>
        <v>#VALUE!</v>
      </c>
      <c r="G145" s="55" t="e">
        <f>0.2*AVERAGE(VLOOKUP(Exam_15,Sum_Accuracy,9,FALSE),VLOOKUP(Exam_15,Sum_Accuracy,10,FALSE))</f>
        <v>#VALUE!</v>
      </c>
    </row>
    <row r="146" spans="2:7" ht="13.5" customHeight="1">
      <c r="B146" s="51" t="s">
        <v>69</v>
      </c>
      <c r="C146" s="55" t="e">
        <f>0.2*AVERAGE(VLOOKUP(Exam_15,Sum_Accuracy,11,FALSE),VLOOKUP(Exam_15,Sum_Accuracy,12,FALSE))</f>
        <v>#VALUE!</v>
      </c>
      <c r="D146" s="55" t="e">
        <f>0.2*AVERAGE(VLOOKUP(Exam_15,Sum_Accuracy,11,FALSE),VLOOKUP(Exam_15,Sum_Accuracy,12,FALSE))</f>
        <v>#VALUE!</v>
      </c>
      <c r="E146" s="55" t="e">
        <f>0.2*AVERAGE(VLOOKUP(Exam_15,Sum_Accuracy,11,FALSE),VLOOKUP(Exam_15,Sum_Accuracy,12,FALSE))</f>
        <v>#VALUE!</v>
      </c>
      <c r="F146" s="55" t="e">
        <f>0.2*AVERAGE(VLOOKUP(Exam_15,Sum_Accuracy,11,FALSE),VLOOKUP(Exam_15,Sum_Accuracy,12,FALSE))</f>
        <v>#VALUE!</v>
      </c>
      <c r="G146" s="55" t="e">
        <f>0.2*AVERAGE(VLOOKUP(Exam_15,Sum_Accuracy,11,FALSE),VLOOKUP(Exam_15,Sum_Accuracy,12,FALSE))</f>
        <v>#VALUE!</v>
      </c>
    </row>
    <row r="147" spans="2:7" ht="13.5" customHeight="1">
      <c r="B147" s="51" t="s">
        <v>64</v>
      </c>
      <c r="C147" s="55" t="e">
        <f>0.2*AVERAGE(VLOOKUP(Exam_15,Sum_Accuracy,13,FALSE),VLOOKUP(Exam_15,Sum_Accuracy,14,FALSE))</f>
        <v>#VALUE!</v>
      </c>
      <c r="D147" s="55" t="e">
        <f>0.2*AVERAGE(VLOOKUP(Exam_15,Sum_Accuracy,13,FALSE),VLOOKUP(Exam_15,Sum_Accuracy,14,FALSE))</f>
        <v>#VALUE!</v>
      </c>
      <c r="E147" s="55" t="e">
        <f>0.2*AVERAGE(VLOOKUP(Exam_15,Sum_Accuracy,13,FALSE),VLOOKUP(Exam_15,Sum_Accuracy,14,FALSE))</f>
        <v>#VALUE!</v>
      </c>
      <c r="F147" s="55" t="e">
        <f>0.2*AVERAGE(VLOOKUP(Exam_15,Sum_Accuracy,13,FALSE),VLOOKUP(Exam_15,Sum_Accuracy,14,FALSE))</f>
        <v>#VALUE!</v>
      </c>
      <c r="G147" s="55" t="e">
        <f>0.2*AVERAGE(VLOOKUP(Exam_15,Sum_Accuracy,13,FALSE),VLOOKUP(Exam_15,Sum_Accuracy,14,FALSE))</f>
        <v>#VALUE!</v>
      </c>
    </row>
    <row r="148" spans="2:7" ht="13.5" customHeight="1">
      <c r="B148" s="51" t="s">
        <v>65</v>
      </c>
      <c r="C148" s="55" t="e">
        <f>0.2*AVERAGE(VLOOKUP(Exam_15,Sum_Accuracy,15,FALSE),VLOOKUP(Exam_15,Sum_Accuracy,16,FALSE))</f>
        <v>#VALUE!</v>
      </c>
      <c r="D148" s="55" t="e">
        <f>0.2*AVERAGE(VLOOKUP(Exam_15,Sum_Accuracy,15,FALSE),VLOOKUP(Exam_15,Sum_Accuracy,16,FALSE))</f>
        <v>#VALUE!</v>
      </c>
      <c r="E148" s="55" t="e">
        <f>0.2*AVERAGE(VLOOKUP(Exam_15,Sum_Accuracy,15,FALSE),VLOOKUP(Exam_15,Sum_Accuracy,16,FALSE))</f>
        <v>#VALUE!</v>
      </c>
      <c r="F148" s="55" t="e">
        <f>0.2*AVERAGE(VLOOKUP(Exam_15,Sum_Accuracy,15,FALSE),VLOOKUP(Exam_15,Sum_Accuracy,16,FALSE))</f>
        <v>#VALUE!</v>
      </c>
      <c r="G148" s="55" t="e">
        <f>0.2*AVERAGE(VLOOKUP(Exam_15,Sum_Accuracy,15,FALSE),VLOOKUP(Exam_15,Sum_Accuracy,16,FALSE))</f>
        <v>#VALUE!</v>
      </c>
    </row>
    <row r="149" spans="2:7" ht="13.5" customHeight="1">
      <c r="B149" s="51" t="s">
        <v>66</v>
      </c>
      <c r="C149" s="55" t="e">
        <f>VLOOKUP(Exam_15,Sum_Accuracy,8,FALSE)/5</f>
        <v>#VALUE!</v>
      </c>
      <c r="D149" s="55" t="e">
        <f>VLOOKUP(Exam_15,Sum_Accuracy,8,FALSE)/5</f>
        <v>#VALUE!</v>
      </c>
      <c r="E149" s="55" t="e">
        <f>VLOOKUP(Exam_15,Sum_Accuracy,8,FALSE)/5</f>
        <v>#VALUE!</v>
      </c>
      <c r="F149" s="55" t="e">
        <f>VLOOKUP(Exam_15,Sum_Accuracy,8,FALSE)/5</f>
        <v>#VALUE!</v>
      </c>
      <c r="G149" s="55" t="e">
        <f>VLOOKUP(Exam_15,Sum_Accuracy,8,FALSE)/5</f>
        <v>#VALUE!</v>
      </c>
    </row>
    <row r="150" spans="2:7" ht="13.5" customHeight="1">
      <c r="B150" s="241"/>
      <c r="C150" s="241"/>
      <c r="D150" s="241"/>
      <c r="E150" s="241"/>
      <c r="F150" s="241"/>
      <c r="G150" s="241"/>
    </row>
    <row r="152" spans="2:7" ht="13.5" customHeight="1">
      <c r="B152" s="245" t="s">
        <v>67</v>
      </c>
      <c r="C152" s="245"/>
      <c r="D152" s="245"/>
      <c r="E152" s="245"/>
      <c r="F152" s="245"/>
      <c r="G152" s="245"/>
    </row>
    <row r="153" spans="2:7" ht="13.5" customHeight="1">
      <c r="B153" s="246"/>
      <c r="C153" s="246"/>
      <c r="D153" s="246"/>
      <c r="E153" s="246"/>
      <c r="F153" s="246"/>
      <c r="G153" s="246"/>
    </row>
    <row r="154" spans="2:7" ht="13.5" customHeight="1">
      <c r="B154" s="52" t="s">
        <v>71</v>
      </c>
      <c r="C154" s="242" t="str">
        <f>BeerName1</f>
        <v>Style1</v>
      </c>
      <c r="D154" s="242"/>
      <c r="E154" s="242"/>
      <c r="F154" s="242"/>
      <c r="G154" s="242"/>
    </row>
    <row r="155" spans="2:7" ht="13.5" customHeight="1">
      <c r="B155" s="241"/>
      <c r="C155" s="241"/>
      <c r="D155" s="241"/>
      <c r="E155" s="241"/>
      <c r="F155" s="241"/>
      <c r="G155" s="241"/>
    </row>
    <row r="156" spans="2:7" ht="13.5" customHeight="1">
      <c r="B156" s="50" t="s">
        <v>68</v>
      </c>
      <c r="C156" s="54" t="s">
        <v>58</v>
      </c>
      <c r="D156" s="54" t="s">
        <v>59</v>
      </c>
      <c r="E156" s="54" t="s">
        <v>60</v>
      </c>
      <c r="F156" s="54" t="s">
        <v>61</v>
      </c>
      <c r="G156" s="54" t="s">
        <v>62</v>
      </c>
    </row>
    <row r="157" spans="2:7" ht="13.5" customHeight="1">
      <c r="B157" s="51" t="s">
        <v>63</v>
      </c>
      <c r="C157" s="55" t="e">
        <f>VLOOKUP(Exam_15,AverageScores,b1_perception,FALSE)</f>
        <v>#DIV/0!</v>
      </c>
      <c r="D157" s="55" t="e">
        <f>VLOOKUP(Exam_15,AverageScores,b1_perception,FALSE)</f>
        <v>#DIV/0!</v>
      </c>
      <c r="E157" s="55" t="e">
        <f>VLOOKUP(Exam_15,AverageScores,b1_perception,FALSE)</f>
        <v>#DIV/0!</v>
      </c>
      <c r="F157" s="55" t="e">
        <f>VLOOKUP(Exam_15,AverageScores,b1_perception,FALSE)</f>
        <v>#DIV/0!</v>
      </c>
      <c r="G157" s="55" t="e">
        <f>VLOOKUP(Exam_15,AverageScores,b1_perception,FALSE)</f>
        <v>#DIV/0!</v>
      </c>
    </row>
    <row r="158" spans="2:7" ht="13.5" customHeight="1">
      <c r="B158" s="51" t="s">
        <v>69</v>
      </c>
      <c r="C158" s="55" t="e">
        <f>VLOOKUP(Exam_15,AverageScores,b1_descriptive,FALSE)</f>
        <v>#DIV/0!</v>
      </c>
      <c r="D158" s="55" t="e">
        <f>VLOOKUP(Exam_15,AverageScores,b1_descriptive,FALSE)</f>
        <v>#DIV/0!</v>
      </c>
      <c r="E158" s="55" t="e">
        <f>VLOOKUP(Exam_15,AverageScores,b1_descriptive,FALSE)</f>
        <v>#DIV/0!</v>
      </c>
      <c r="F158" s="55" t="e">
        <f>VLOOKUP(Exam_15,AverageScores,b1_descriptive,FALSE)</f>
        <v>#DIV/0!</v>
      </c>
      <c r="G158" s="55" t="e">
        <f>VLOOKUP(Exam_15,AverageScores,b1_descriptive,FALSE)</f>
        <v>#DIV/0!</v>
      </c>
    </row>
    <row r="159" spans="2:7" ht="13.5" customHeight="1">
      <c r="B159" s="51" t="s">
        <v>64</v>
      </c>
      <c r="C159" s="55" t="e">
        <f>VLOOKUP(Exam_15,AverageScores,b1_feedback,FALSE)</f>
        <v>#DIV/0!</v>
      </c>
      <c r="D159" s="55" t="e">
        <f>VLOOKUP(Exam_15,AverageScores,b1_feedback,FALSE)</f>
        <v>#DIV/0!</v>
      </c>
      <c r="E159" s="55" t="e">
        <f>VLOOKUP(Exam_15,AverageScores,b1_feedback,FALSE)</f>
        <v>#DIV/0!</v>
      </c>
      <c r="F159" s="55" t="e">
        <f>VLOOKUP(Exam_15,AverageScores,b1_feedback,FALSE)</f>
        <v>#DIV/0!</v>
      </c>
      <c r="G159" s="55" t="e">
        <f>VLOOKUP(Exam_15,AverageScores,b1_feedback,FALSE)</f>
        <v>#DIV/0!</v>
      </c>
    </row>
    <row r="160" spans="2:7" ht="13.5" customHeight="1">
      <c r="B160" s="51" t="s">
        <v>65</v>
      </c>
      <c r="C160" s="55" t="e">
        <f>VLOOKUP(Exam_15,AverageScores,b1_completeness,FALSE)</f>
        <v>#DIV/0!</v>
      </c>
      <c r="D160" s="55" t="e">
        <f>VLOOKUP(Exam_15,AverageScores,b1_completeness,FALSE)</f>
        <v>#DIV/0!</v>
      </c>
      <c r="E160" s="55" t="e">
        <f>VLOOKUP(Exam_15,AverageScores,b1_completeness,FALSE)</f>
        <v>#DIV/0!</v>
      </c>
      <c r="F160" s="55" t="e">
        <f>VLOOKUP(Exam_15,AverageScores,b1_completeness,FALSE)</f>
        <v>#DIV/0!</v>
      </c>
      <c r="G160" s="55" t="e">
        <f>VLOOKUP(Exam_15,AverageScores,b1_completeness,FALSE)</f>
        <v>#DIV/0!</v>
      </c>
    </row>
    <row r="161" spans="2:7" ht="13.5" customHeight="1">
      <c r="B161" s="51" t="s">
        <v>66</v>
      </c>
      <c r="C161" s="55">
        <f>VLOOKUP(Exam_15,ScoringAccuracyTable,b1_accuracy,FALSE)</f>
      </c>
      <c r="D161" s="55">
        <f>VLOOKUP(Exam_15,ScoringAccuracyTable,b1_accuracy,FALSE)</f>
      </c>
      <c r="E161" s="55">
        <f>VLOOKUP(Exam_15,ScoringAccuracyTable,b1_accuracy,FALSE)</f>
      </c>
      <c r="F161" s="55">
        <f>VLOOKUP(Exam_15,ScoringAccuracyTable,b1_accuracy,FALSE)</f>
      </c>
      <c r="G161" s="55">
        <f>VLOOKUP(Exam_15,ScoringAccuracyTable,b1_accuracy,FALSE)</f>
      </c>
    </row>
    <row r="162" spans="2:7" ht="13.5" customHeight="1">
      <c r="B162" s="241"/>
      <c r="C162" s="241"/>
      <c r="D162" s="241"/>
      <c r="E162" s="241"/>
      <c r="F162" s="241"/>
      <c r="G162" s="241"/>
    </row>
    <row r="163" spans="2:7" ht="13.5" customHeight="1">
      <c r="B163" s="52" t="s">
        <v>72</v>
      </c>
      <c r="C163" s="242" t="str">
        <f>BeerName2</f>
        <v>Style2</v>
      </c>
      <c r="D163" s="242"/>
      <c r="E163" s="242"/>
      <c r="F163" s="242"/>
      <c r="G163" s="242"/>
    </row>
    <row r="164" spans="2:7" ht="13.5" customHeight="1">
      <c r="B164" s="247"/>
      <c r="C164" s="247"/>
      <c r="D164" s="247"/>
      <c r="E164" s="247"/>
      <c r="F164" s="247"/>
      <c r="G164" s="247"/>
    </row>
    <row r="165" spans="2:7" ht="13.5" customHeight="1">
      <c r="B165" s="50" t="s">
        <v>68</v>
      </c>
      <c r="C165" s="56" t="s">
        <v>58</v>
      </c>
      <c r="D165" s="56" t="s">
        <v>59</v>
      </c>
      <c r="E165" s="56" t="s">
        <v>60</v>
      </c>
      <c r="F165" s="56" t="s">
        <v>61</v>
      </c>
      <c r="G165" s="56" t="s">
        <v>62</v>
      </c>
    </row>
    <row r="166" spans="2:7" ht="13.5" customHeight="1">
      <c r="B166" s="51" t="s">
        <v>63</v>
      </c>
      <c r="C166" s="55" t="e">
        <f>VLOOKUP(Exam_15,AverageScores,b2_perceptive,FALSE)</f>
        <v>#DIV/0!</v>
      </c>
      <c r="D166" s="55" t="e">
        <f>VLOOKUP(Exam_15,AverageScores,b2_perceptive,FALSE)</f>
        <v>#DIV/0!</v>
      </c>
      <c r="E166" s="55" t="e">
        <f>VLOOKUP(Exam_15,AverageScores,b2_perceptive,FALSE)</f>
        <v>#DIV/0!</v>
      </c>
      <c r="F166" s="55" t="e">
        <f>VLOOKUP(Exam_15,AverageScores,b2_perceptive,FALSE)</f>
        <v>#DIV/0!</v>
      </c>
      <c r="G166" s="55" t="e">
        <f>VLOOKUP(Exam_15,AverageScores,b2_perceptive,FALSE)</f>
        <v>#DIV/0!</v>
      </c>
    </row>
    <row r="167" spans="2:7" ht="13.5" customHeight="1">
      <c r="B167" s="51" t="s">
        <v>69</v>
      </c>
      <c r="C167" s="55" t="e">
        <f>VLOOKUP(Exam_15,AverageScores,b2_descriptive,FALSE)</f>
        <v>#DIV/0!</v>
      </c>
      <c r="D167" s="55" t="e">
        <f>VLOOKUP(Exam_15,AverageScores,b2_descriptive,FALSE)</f>
        <v>#DIV/0!</v>
      </c>
      <c r="E167" s="55" t="e">
        <f>VLOOKUP(Exam_15,AverageScores,b2_descriptive,FALSE)</f>
        <v>#DIV/0!</v>
      </c>
      <c r="F167" s="55" t="e">
        <f>VLOOKUP(Exam_15,AverageScores,b2_descriptive,FALSE)</f>
        <v>#DIV/0!</v>
      </c>
      <c r="G167" s="55" t="e">
        <f>VLOOKUP(Exam_15,AverageScores,b2_descriptive,FALSE)</f>
        <v>#DIV/0!</v>
      </c>
    </row>
    <row r="168" spans="2:7" ht="13.5" customHeight="1">
      <c r="B168" s="51" t="s">
        <v>64</v>
      </c>
      <c r="C168" s="55" t="e">
        <f>VLOOKUP(Exam_15,AverageScores,b2_feedback,FALSE)</f>
        <v>#DIV/0!</v>
      </c>
      <c r="D168" s="55" t="e">
        <f>VLOOKUP(Exam_15,AverageScores,b2_feedback,FALSE)</f>
        <v>#DIV/0!</v>
      </c>
      <c r="E168" s="55" t="e">
        <f>VLOOKUP(Exam_15,AverageScores,b2_feedback,FALSE)</f>
        <v>#DIV/0!</v>
      </c>
      <c r="F168" s="55" t="e">
        <f>VLOOKUP(Exam_15,AverageScores,b2_feedback,FALSE)</f>
        <v>#DIV/0!</v>
      </c>
      <c r="G168" s="55" t="e">
        <f>VLOOKUP(Exam_15,AverageScores,b2_feedback,FALSE)</f>
        <v>#DIV/0!</v>
      </c>
    </row>
    <row r="169" spans="2:7" ht="13.5" customHeight="1">
      <c r="B169" s="51" t="s">
        <v>65</v>
      </c>
      <c r="C169" s="55" t="e">
        <f>VLOOKUP(Exam_15,AverageScores,b2_completeness,FALSE)</f>
        <v>#DIV/0!</v>
      </c>
      <c r="D169" s="55" t="e">
        <f>VLOOKUP(Exam_15,AverageScores,b2_completeness,FALSE)</f>
        <v>#DIV/0!</v>
      </c>
      <c r="E169" s="55" t="e">
        <f>VLOOKUP(Exam_15,AverageScores,b2_completeness,FALSE)</f>
        <v>#DIV/0!</v>
      </c>
      <c r="F169" s="55" t="e">
        <f>VLOOKUP(Exam_15,AverageScores,b2_completeness,FALSE)</f>
        <v>#DIV/0!</v>
      </c>
      <c r="G169" s="55" t="e">
        <f>VLOOKUP(Exam_15,AverageScores,b2_completeness,FALSE)</f>
        <v>#DIV/0!</v>
      </c>
    </row>
    <row r="170" spans="2:7" ht="13.5" customHeight="1">
      <c r="B170" s="51" t="s">
        <v>66</v>
      </c>
      <c r="C170" s="55">
        <f>VLOOKUP(Exam_15,ScoringAccuracyTable,b2_accuracy,FALSE)</f>
      </c>
      <c r="D170" s="55">
        <f>VLOOKUP(Exam_15,ScoringAccuracyTable,b2_accuracy,FALSE)</f>
      </c>
      <c r="E170" s="55">
        <f>VLOOKUP(Exam_15,ScoringAccuracyTable,b2_accuracy,FALSE)</f>
      </c>
      <c r="F170" s="55">
        <f>VLOOKUP(Exam_15,ScoringAccuracyTable,b2_accuracy,FALSE)</f>
      </c>
      <c r="G170" s="55">
        <f>VLOOKUP(Exam_15,ScoringAccuracyTable,b2_accuracy,FALSE)</f>
      </c>
    </row>
    <row r="171" spans="2:7" ht="13.5" customHeight="1">
      <c r="B171" s="241"/>
      <c r="C171" s="241"/>
      <c r="D171" s="241"/>
      <c r="E171" s="241"/>
      <c r="F171" s="241"/>
      <c r="G171" s="241"/>
    </row>
    <row r="172" spans="2:7" ht="13.5" customHeight="1">
      <c r="B172" s="52" t="s">
        <v>76</v>
      </c>
      <c r="C172" s="242" t="str">
        <f>BeerName3</f>
        <v>Style3</v>
      </c>
      <c r="D172" s="242"/>
      <c r="E172" s="242"/>
      <c r="F172" s="242"/>
      <c r="G172" s="242"/>
    </row>
    <row r="173" spans="2:7" ht="13.5" customHeight="1">
      <c r="B173" s="247"/>
      <c r="C173" s="247"/>
      <c r="D173" s="247"/>
      <c r="E173" s="247"/>
      <c r="F173" s="247"/>
      <c r="G173" s="247"/>
    </row>
    <row r="174" spans="2:7" ht="13.5" customHeight="1">
      <c r="B174" s="50" t="s">
        <v>68</v>
      </c>
      <c r="C174" s="54" t="s">
        <v>58</v>
      </c>
      <c r="D174" s="54" t="s">
        <v>59</v>
      </c>
      <c r="E174" s="54" t="s">
        <v>60</v>
      </c>
      <c r="F174" s="54" t="s">
        <v>61</v>
      </c>
      <c r="G174" s="54" t="s">
        <v>62</v>
      </c>
    </row>
    <row r="175" spans="2:7" ht="13.5" customHeight="1">
      <c r="B175" s="51" t="s">
        <v>63</v>
      </c>
      <c r="C175" s="55" t="e">
        <f>VLOOKUP(Exam_15,AverageScores,b3_perception,FALSE)</f>
        <v>#DIV/0!</v>
      </c>
      <c r="D175" s="55" t="e">
        <f>VLOOKUP(Exam_15,AverageScores,b3_perception,FALSE)</f>
        <v>#DIV/0!</v>
      </c>
      <c r="E175" s="55" t="e">
        <f>VLOOKUP(Exam_15,AverageScores,b3_perception,FALSE)</f>
        <v>#DIV/0!</v>
      </c>
      <c r="F175" s="55" t="e">
        <f>VLOOKUP(Exam_15,AverageScores,b3_perception,FALSE)</f>
        <v>#DIV/0!</v>
      </c>
      <c r="G175" s="55" t="e">
        <f>VLOOKUP(Exam_15,AverageScores,b3_perception,FALSE)</f>
        <v>#DIV/0!</v>
      </c>
    </row>
    <row r="176" spans="2:7" ht="13.5" customHeight="1">
      <c r="B176" s="51" t="s">
        <v>69</v>
      </c>
      <c r="C176" s="55" t="e">
        <f>VLOOKUP(Exam_15,AverageScores,b3_descriptive,FALSE)</f>
        <v>#DIV/0!</v>
      </c>
      <c r="D176" s="55" t="e">
        <f>VLOOKUP(Exam_15,AverageScores,b3_descriptive,FALSE)</f>
        <v>#DIV/0!</v>
      </c>
      <c r="E176" s="55" t="e">
        <f>VLOOKUP(Exam_15,AverageScores,b3_descriptive,FALSE)</f>
        <v>#DIV/0!</v>
      </c>
      <c r="F176" s="55" t="e">
        <f>VLOOKUP(Exam_15,AverageScores,b3_descriptive,FALSE)</f>
        <v>#DIV/0!</v>
      </c>
      <c r="G176" s="55" t="e">
        <f>VLOOKUP(Exam_15,AverageScores,b3_descriptive,FALSE)</f>
        <v>#DIV/0!</v>
      </c>
    </row>
    <row r="177" spans="2:7" ht="13.5" customHeight="1">
      <c r="B177" s="51" t="s">
        <v>64</v>
      </c>
      <c r="C177" s="55" t="e">
        <f>VLOOKUP(Exam_15,AverageScores,b3_feedback,FALSE)</f>
        <v>#DIV/0!</v>
      </c>
      <c r="D177" s="55" t="e">
        <f>VLOOKUP(Exam_15,AverageScores,b3_feedback,FALSE)</f>
        <v>#DIV/0!</v>
      </c>
      <c r="E177" s="55" t="e">
        <f>VLOOKUP(Exam_15,AverageScores,b3_feedback,FALSE)</f>
        <v>#DIV/0!</v>
      </c>
      <c r="F177" s="55" t="e">
        <f>VLOOKUP(Exam_15,AverageScores,b3_feedback,FALSE)</f>
        <v>#DIV/0!</v>
      </c>
      <c r="G177" s="55" t="e">
        <f>VLOOKUP(Exam_15,AverageScores,b3_feedback,FALSE)</f>
        <v>#DIV/0!</v>
      </c>
    </row>
    <row r="178" spans="2:7" ht="13.5" customHeight="1">
      <c r="B178" s="51" t="s">
        <v>65</v>
      </c>
      <c r="C178" s="55" t="e">
        <f>VLOOKUP(Exam_15,AverageScores,b3_completeness,FALSE)</f>
        <v>#DIV/0!</v>
      </c>
      <c r="D178" s="55" t="e">
        <f>VLOOKUP(Exam_15,AverageScores,b3_completeness,FALSE)</f>
        <v>#DIV/0!</v>
      </c>
      <c r="E178" s="55" t="e">
        <f>VLOOKUP(Exam_15,AverageScores,b3_completeness,FALSE)</f>
        <v>#DIV/0!</v>
      </c>
      <c r="F178" s="55" t="e">
        <f>VLOOKUP(Exam_15,AverageScores,b3_completeness,FALSE)</f>
        <v>#DIV/0!</v>
      </c>
      <c r="G178" s="55" t="e">
        <f>VLOOKUP(Exam_15,AverageScores,b3_completeness,FALSE)</f>
        <v>#DIV/0!</v>
      </c>
    </row>
    <row r="179" spans="2:7" ht="13.5" customHeight="1">
      <c r="B179" s="51" t="s">
        <v>66</v>
      </c>
      <c r="C179" s="55">
        <f>VLOOKUP(Exam_15,ScoringAccuracyTable,b3_accuracy,FALSE)</f>
      </c>
      <c r="D179" s="55">
        <f>VLOOKUP(Exam_15,ScoringAccuracyTable,b3_accuracy,FALSE)</f>
      </c>
      <c r="E179" s="55">
        <f>VLOOKUP(Exam_15,ScoringAccuracyTable,b3_accuracy,FALSE)</f>
      </c>
      <c r="F179" s="55">
        <f>VLOOKUP(Exam_15,ScoringAccuracyTable,b3_accuracy,FALSE)</f>
      </c>
      <c r="G179" s="55">
        <f>VLOOKUP(Exam_15,ScoringAccuracyTable,b3_accuracy,FALSE)</f>
      </c>
    </row>
    <row r="180" spans="2:7" ht="13.5" customHeight="1">
      <c r="B180" s="241"/>
      <c r="C180" s="241"/>
      <c r="D180" s="241"/>
      <c r="E180" s="241"/>
      <c r="F180" s="241"/>
      <c r="G180" s="241"/>
    </row>
    <row r="181" spans="2:7" ht="13.5" customHeight="1">
      <c r="B181" s="52" t="s">
        <v>75</v>
      </c>
      <c r="C181" s="242" t="str">
        <f>BeerName4</f>
        <v>Style4</v>
      </c>
      <c r="D181" s="242"/>
      <c r="E181" s="242"/>
      <c r="F181" s="242"/>
      <c r="G181" s="242"/>
    </row>
    <row r="182" spans="2:7" ht="13.5" customHeight="1">
      <c r="B182" s="241"/>
      <c r="C182" s="241"/>
      <c r="D182" s="241"/>
      <c r="E182" s="241"/>
      <c r="F182" s="241"/>
      <c r="G182" s="241"/>
    </row>
    <row r="183" spans="2:7" ht="13.5" customHeight="1">
      <c r="B183" s="50" t="s">
        <v>68</v>
      </c>
      <c r="C183" s="54" t="s">
        <v>58</v>
      </c>
      <c r="D183" s="54" t="s">
        <v>59</v>
      </c>
      <c r="E183" s="54" t="s">
        <v>60</v>
      </c>
      <c r="F183" s="54" t="s">
        <v>61</v>
      </c>
      <c r="G183" s="54" t="s">
        <v>62</v>
      </c>
    </row>
    <row r="184" spans="2:7" ht="13.5" customHeight="1">
      <c r="B184" s="51" t="s">
        <v>63</v>
      </c>
      <c r="C184" s="55" t="e">
        <f>VLOOKUP(Exam_15,AverageScores,b4_perception,FALSE)</f>
        <v>#DIV/0!</v>
      </c>
      <c r="D184" s="55" t="e">
        <f>VLOOKUP(Exam_15,AverageScores,b4_perception,FALSE)</f>
        <v>#DIV/0!</v>
      </c>
      <c r="E184" s="55" t="e">
        <f>VLOOKUP(Exam_15,AverageScores,b4_perception,FALSE)</f>
        <v>#DIV/0!</v>
      </c>
      <c r="F184" s="55" t="e">
        <f>VLOOKUP(Exam_15,AverageScores,b4_perception,FALSE)</f>
        <v>#DIV/0!</v>
      </c>
      <c r="G184" s="55" t="e">
        <f>VLOOKUP(Exam_15,AverageScores,b4_perception,FALSE)</f>
        <v>#DIV/0!</v>
      </c>
    </row>
    <row r="185" spans="2:7" ht="13.5" customHeight="1">
      <c r="B185" s="51" t="s">
        <v>69</v>
      </c>
      <c r="C185" s="55" t="e">
        <f>VLOOKUP(Exam_15,AverageScores,b4_descriptive,FALSE)</f>
        <v>#DIV/0!</v>
      </c>
      <c r="D185" s="55" t="e">
        <f>VLOOKUP(Exam_15,AverageScores,b4_descriptive,FALSE)</f>
        <v>#DIV/0!</v>
      </c>
      <c r="E185" s="55" t="e">
        <f>VLOOKUP(Exam_15,AverageScores,b4_descriptive,FALSE)</f>
        <v>#DIV/0!</v>
      </c>
      <c r="F185" s="55" t="e">
        <f>VLOOKUP(Exam_15,AverageScores,b4_descriptive,FALSE)</f>
        <v>#DIV/0!</v>
      </c>
      <c r="G185" s="55" t="e">
        <f>VLOOKUP(Exam_15,AverageScores,b4_descriptive,FALSE)</f>
        <v>#DIV/0!</v>
      </c>
    </row>
    <row r="186" spans="2:7" ht="13.5" customHeight="1">
      <c r="B186" s="51" t="s">
        <v>64</v>
      </c>
      <c r="C186" s="55" t="e">
        <f>VLOOKUP(Exam_15,AverageScores,b4_feedback,FALSE)</f>
        <v>#DIV/0!</v>
      </c>
      <c r="D186" s="55" t="e">
        <f>VLOOKUP(Exam_15,AverageScores,b4_feedback,FALSE)</f>
        <v>#DIV/0!</v>
      </c>
      <c r="E186" s="55" t="e">
        <f>VLOOKUP(Exam_15,AverageScores,b4_feedback,FALSE)</f>
        <v>#DIV/0!</v>
      </c>
      <c r="F186" s="55" t="e">
        <f>VLOOKUP(Exam_15,AverageScores,b4_feedback,FALSE)</f>
        <v>#DIV/0!</v>
      </c>
      <c r="G186" s="55" t="e">
        <f>VLOOKUP(Exam_15,AverageScores,b4_feedback,FALSE)</f>
        <v>#DIV/0!</v>
      </c>
    </row>
    <row r="187" spans="2:7" ht="13.5" customHeight="1">
      <c r="B187" s="51" t="s">
        <v>65</v>
      </c>
      <c r="C187" s="55" t="e">
        <f>VLOOKUP(Exam_15,AverageScores,b4_completeness,FALSE)</f>
        <v>#DIV/0!</v>
      </c>
      <c r="D187" s="55" t="e">
        <f>VLOOKUP(Exam_15,AverageScores,b4_completeness,FALSE)</f>
        <v>#DIV/0!</v>
      </c>
      <c r="E187" s="55" t="e">
        <f>VLOOKUP(Exam_15,AverageScores,b4_completeness,FALSE)</f>
        <v>#DIV/0!</v>
      </c>
      <c r="F187" s="55" t="e">
        <f>VLOOKUP(Exam_15,AverageScores,b4_completeness,FALSE)</f>
        <v>#DIV/0!</v>
      </c>
      <c r="G187" s="55" t="e">
        <f>VLOOKUP(Exam_15,AverageScores,b4_completeness,FALSE)</f>
        <v>#DIV/0!</v>
      </c>
    </row>
    <row r="188" spans="2:7" ht="13.5" customHeight="1">
      <c r="B188" s="51" t="s">
        <v>66</v>
      </c>
      <c r="C188" s="55">
        <f>VLOOKUP(Exam_15,ScoringAccuracyTable,b4_accuracy,FALSE)</f>
      </c>
      <c r="D188" s="55">
        <f>VLOOKUP(Exam_15,ScoringAccuracyTable,b4_accuracy,FALSE)</f>
      </c>
      <c r="E188" s="55">
        <f>VLOOKUP(Exam_15,ScoringAccuracyTable,b4_accuracy,FALSE)</f>
      </c>
      <c r="F188" s="55">
        <f>VLOOKUP(Exam_15,ScoringAccuracyTable,b4_accuracy,FALSE)</f>
      </c>
      <c r="G188" s="55">
        <f>VLOOKUP(Exam_15,ScoringAccuracyTable,b4_accuracy,FALSE)</f>
      </c>
    </row>
    <row r="189" spans="2:7" ht="13.5" customHeight="1">
      <c r="B189" s="241"/>
      <c r="C189" s="241"/>
      <c r="D189" s="241"/>
      <c r="E189" s="241"/>
      <c r="F189" s="241"/>
      <c r="G189" s="241"/>
    </row>
    <row r="193" spans="2:7" ht="13.5" customHeight="1">
      <c r="B193" s="52" t="s">
        <v>74</v>
      </c>
      <c r="C193" s="242" t="str">
        <f>BeerName5</f>
        <v>Style5</v>
      </c>
      <c r="D193" s="242"/>
      <c r="E193" s="242"/>
      <c r="F193" s="242"/>
      <c r="G193" s="242"/>
    </row>
    <row r="194" spans="2:7" ht="13.5" customHeight="1">
      <c r="B194" s="241"/>
      <c r="C194" s="241"/>
      <c r="D194" s="241"/>
      <c r="E194" s="241"/>
      <c r="F194" s="241"/>
      <c r="G194" s="241"/>
    </row>
    <row r="195" spans="2:7" ht="13.5" customHeight="1">
      <c r="B195" s="50" t="s">
        <v>68</v>
      </c>
      <c r="C195" s="54" t="s">
        <v>58</v>
      </c>
      <c r="D195" s="54" t="s">
        <v>59</v>
      </c>
      <c r="E195" s="54" t="s">
        <v>60</v>
      </c>
      <c r="F195" s="54" t="s">
        <v>61</v>
      </c>
      <c r="G195" s="54" t="s">
        <v>62</v>
      </c>
    </row>
    <row r="196" spans="2:7" ht="13.5" customHeight="1">
      <c r="B196" s="51" t="s">
        <v>63</v>
      </c>
      <c r="C196" s="55" t="e">
        <f>VLOOKUP(Exam_15,AverageScores,b5_perception,FALSE)</f>
        <v>#DIV/0!</v>
      </c>
      <c r="D196" s="55" t="e">
        <f>VLOOKUP(Exam_15,AverageScores,b5_perception,FALSE)</f>
        <v>#DIV/0!</v>
      </c>
      <c r="E196" s="55" t="e">
        <f>VLOOKUP(Exam_15,AverageScores,b5_perception,FALSE)</f>
        <v>#DIV/0!</v>
      </c>
      <c r="F196" s="55" t="e">
        <f>VLOOKUP(Exam_15,AverageScores,b5_perception,FALSE)</f>
        <v>#DIV/0!</v>
      </c>
      <c r="G196" s="55" t="e">
        <f>VLOOKUP(Exam_15,AverageScores,b5_perception,FALSE)</f>
        <v>#DIV/0!</v>
      </c>
    </row>
    <row r="197" spans="2:7" ht="13.5" customHeight="1">
      <c r="B197" s="51" t="s">
        <v>69</v>
      </c>
      <c r="C197" s="55" t="e">
        <f>VLOOKUP(Exam_15,AverageScores,b5_descriptive,FALSE)</f>
        <v>#DIV/0!</v>
      </c>
      <c r="D197" s="55" t="e">
        <f>VLOOKUP(Exam_15,AverageScores,b5_descriptive,FALSE)</f>
        <v>#DIV/0!</v>
      </c>
      <c r="E197" s="55" t="e">
        <f>VLOOKUP(Exam_15,AverageScores,b5_descriptive,FALSE)</f>
        <v>#DIV/0!</v>
      </c>
      <c r="F197" s="55" t="e">
        <f>VLOOKUP(Exam_15,AverageScores,b5_descriptive,FALSE)</f>
        <v>#DIV/0!</v>
      </c>
      <c r="G197" s="55" t="e">
        <f>VLOOKUP(Exam_15,AverageScores,b5_descriptive,FALSE)</f>
        <v>#DIV/0!</v>
      </c>
    </row>
    <row r="198" spans="2:7" ht="13.5" customHeight="1">
      <c r="B198" s="51" t="s">
        <v>64</v>
      </c>
      <c r="C198" s="55" t="e">
        <f>VLOOKUP(Exam_15,AverageScores,b5_feedback,FALSE)</f>
        <v>#DIV/0!</v>
      </c>
      <c r="D198" s="55" t="e">
        <f>VLOOKUP(Exam_15,AverageScores,b5_feedback,FALSE)</f>
        <v>#DIV/0!</v>
      </c>
      <c r="E198" s="55" t="e">
        <f>VLOOKUP(Exam_15,AverageScores,b5_feedback,FALSE)</f>
        <v>#DIV/0!</v>
      </c>
      <c r="F198" s="55" t="e">
        <f>VLOOKUP(Exam_15,AverageScores,b5_feedback,FALSE)</f>
        <v>#DIV/0!</v>
      </c>
      <c r="G198" s="55" t="e">
        <f>VLOOKUP(Exam_15,AverageScores,b5_feedback,FALSE)</f>
        <v>#DIV/0!</v>
      </c>
    </row>
    <row r="199" spans="2:7" ht="13.5" customHeight="1">
      <c r="B199" s="51" t="s">
        <v>65</v>
      </c>
      <c r="C199" s="55" t="e">
        <f>VLOOKUP(Exam_15,AverageScores,b5_completeness,FALSE)</f>
        <v>#DIV/0!</v>
      </c>
      <c r="D199" s="55" t="e">
        <f>VLOOKUP(Exam_15,AverageScores,b5_completeness,FALSE)</f>
        <v>#DIV/0!</v>
      </c>
      <c r="E199" s="55" t="e">
        <f>VLOOKUP(Exam_15,AverageScores,b5_completeness,FALSE)</f>
        <v>#DIV/0!</v>
      </c>
      <c r="F199" s="55" t="e">
        <f>VLOOKUP(Exam_15,AverageScores,b5_completeness,FALSE)</f>
        <v>#DIV/0!</v>
      </c>
      <c r="G199" s="55" t="e">
        <f>VLOOKUP(Exam_15,AverageScores,b5_completeness,FALSE)</f>
        <v>#DIV/0!</v>
      </c>
    </row>
    <row r="200" spans="2:7" ht="13.5" customHeight="1">
      <c r="B200" s="51" t="s">
        <v>66</v>
      </c>
      <c r="C200" s="55">
        <f>VLOOKUP(Exam_15,ScoringAccuracyTable,b5_accuracy,FALSE)</f>
      </c>
      <c r="D200" s="55">
        <f>VLOOKUP(Exam_15,ScoringAccuracyTable,b5_accuracy,FALSE)</f>
      </c>
      <c r="E200" s="55">
        <f>VLOOKUP(Exam_15,ScoringAccuracyTable,b5_accuracy,FALSE)</f>
      </c>
      <c r="F200" s="55">
        <f>VLOOKUP(Exam_15,ScoringAccuracyTable,b5_accuracy,FALSE)</f>
      </c>
      <c r="G200" s="55">
        <f>VLOOKUP(Exam_15,ScoringAccuracyTable,b5_accuracy,FALSE)</f>
      </c>
    </row>
    <row r="201" spans="2:7" ht="13.5" customHeight="1">
      <c r="B201" s="241"/>
      <c r="C201" s="241"/>
      <c r="D201" s="241"/>
      <c r="E201" s="241"/>
      <c r="F201" s="241"/>
      <c r="G201" s="241"/>
    </row>
    <row r="202" spans="2:7" ht="13.5" customHeight="1">
      <c r="B202" s="52" t="s">
        <v>73</v>
      </c>
      <c r="C202" s="242" t="str">
        <f>BeerName6</f>
        <v>Style6</v>
      </c>
      <c r="D202" s="242"/>
      <c r="E202" s="242"/>
      <c r="F202" s="242"/>
      <c r="G202" s="242"/>
    </row>
    <row r="203" spans="2:7" ht="13.5" customHeight="1">
      <c r="B203" s="241"/>
      <c r="C203" s="241"/>
      <c r="D203" s="241"/>
      <c r="E203" s="241"/>
      <c r="F203" s="241"/>
      <c r="G203" s="241"/>
    </row>
    <row r="204" spans="2:7" ht="13.5" customHeight="1">
      <c r="B204" s="50" t="s">
        <v>68</v>
      </c>
      <c r="C204" s="54" t="s">
        <v>58</v>
      </c>
      <c r="D204" s="54" t="s">
        <v>59</v>
      </c>
      <c r="E204" s="54" t="s">
        <v>60</v>
      </c>
      <c r="F204" s="54" t="s">
        <v>61</v>
      </c>
      <c r="G204" s="54" t="s">
        <v>62</v>
      </c>
    </row>
    <row r="205" spans="2:7" ht="13.5" customHeight="1">
      <c r="B205" s="51" t="s">
        <v>63</v>
      </c>
      <c r="C205" s="55" t="e">
        <f>VLOOKUP(Exam_15,AverageScores,b6_perception,FALSE)</f>
        <v>#DIV/0!</v>
      </c>
      <c r="D205" s="55" t="e">
        <f>VLOOKUP(Exam_15,AverageScores,b6_perception,FALSE)</f>
        <v>#DIV/0!</v>
      </c>
      <c r="E205" s="55" t="e">
        <f>VLOOKUP(Exam_15,AverageScores,b6_perception,FALSE)</f>
        <v>#DIV/0!</v>
      </c>
      <c r="F205" s="55" t="e">
        <f>VLOOKUP(Exam_15,AverageScores,b6_perception,FALSE)</f>
        <v>#DIV/0!</v>
      </c>
      <c r="G205" s="55" t="e">
        <f>VLOOKUP(Exam_15,AverageScores,b6_perception,FALSE)</f>
        <v>#DIV/0!</v>
      </c>
    </row>
    <row r="206" spans="2:7" ht="13.5" customHeight="1">
      <c r="B206" s="51" t="s">
        <v>69</v>
      </c>
      <c r="C206" s="55" t="e">
        <f>VLOOKUP(Exam_15,AverageScores,b6_descriptive,FALSE)</f>
        <v>#DIV/0!</v>
      </c>
      <c r="D206" s="55" t="e">
        <f>VLOOKUP(Exam_15,AverageScores,b6_descriptive,FALSE)</f>
        <v>#DIV/0!</v>
      </c>
      <c r="E206" s="55" t="e">
        <f>VLOOKUP(Exam_15,AverageScores,b6_descriptive,FALSE)</f>
        <v>#DIV/0!</v>
      </c>
      <c r="F206" s="55" t="e">
        <f>VLOOKUP(Exam_15,AverageScores,b6_descriptive,FALSE)</f>
        <v>#DIV/0!</v>
      </c>
      <c r="G206" s="55" t="e">
        <f>VLOOKUP(Exam_15,AverageScores,b6_descriptive,FALSE)</f>
        <v>#DIV/0!</v>
      </c>
    </row>
    <row r="207" spans="2:7" ht="13.5" customHeight="1">
      <c r="B207" s="51" t="s">
        <v>64</v>
      </c>
      <c r="C207" s="55" t="e">
        <f>VLOOKUP(Exam_15,AverageScores,b6_feedback,FALSE)</f>
        <v>#DIV/0!</v>
      </c>
      <c r="D207" s="55" t="e">
        <f>VLOOKUP(Exam_15,AverageScores,b6_feedback,FALSE)</f>
        <v>#DIV/0!</v>
      </c>
      <c r="E207" s="55" t="e">
        <f>VLOOKUP(Exam_15,AverageScores,b6_feedback,FALSE)</f>
        <v>#DIV/0!</v>
      </c>
      <c r="F207" s="55" t="e">
        <f>VLOOKUP(Exam_15,AverageScores,b6_feedback,FALSE)</f>
        <v>#DIV/0!</v>
      </c>
      <c r="G207" s="55" t="e">
        <f>VLOOKUP(Exam_15,AverageScores,b6_feedback,FALSE)</f>
        <v>#DIV/0!</v>
      </c>
    </row>
    <row r="208" spans="2:7" ht="13.5" customHeight="1">
      <c r="B208" s="51" t="s">
        <v>65</v>
      </c>
      <c r="C208" s="55" t="e">
        <f>VLOOKUP(Exam_15,AverageScores,b6_completeness,FALSE)</f>
        <v>#DIV/0!</v>
      </c>
      <c r="D208" s="55" t="e">
        <f>VLOOKUP(Exam_15,AverageScores,b6_completeness,FALSE)</f>
        <v>#DIV/0!</v>
      </c>
      <c r="E208" s="55" t="e">
        <f>VLOOKUP(Exam_15,AverageScores,b6_completeness,FALSE)</f>
        <v>#DIV/0!</v>
      </c>
      <c r="F208" s="55" t="e">
        <f>VLOOKUP(Exam_15,AverageScores,b6_completeness,FALSE)</f>
        <v>#DIV/0!</v>
      </c>
      <c r="G208" s="55" t="e">
        <f>VLOOKUP(Exam_15,AverageScores,b6_completeness,FALSE)</f>
        <v>#DIV/0!</v>
      </c>
    </row>
    <row r="209" spans="2:7" ht="13.5" customHeight="1">
      <c r="B209" s="51" t="s">
        <v>66</v>
      </c>
      <c r="C209" s="55">
        <f>VLOOKUP(Exam_15,ScoringAccuracyTable,b6_accuracy,FALSE)</f>
      </c>
      <c r="D209" s="55">
        <f>VLOOKUP(Exam_15,ScoringAccuracyTable,b6_accuracy,FALSE)</f>
      </c>
      <c r="E209" s="55">
        <f>VLOOKUP(Exam_15,ScoringAccuracyTable,b6_accuracy,FALSE)</f>
      </c>
      <c r="F209" s="55">
        <f>VLOOKUP(Exam_15,ScoringAccuracyTable,b6_accuracy,FALSE)</f>
      </c>
      <c r="G209" s="55">
        <f>VLOOKUP(Exam_15,ScoringAccuracyTable,b6_accuracy,FALSE)</f>
      </c>
    </row>
    <row r="212" spans="1:7" ht="13.5" customHeight="1">
      <c r="A212" s="131" t="s">
        <v>18</v>
      </c>
      <c r="B212" s="243" t="s">
        <v>70</v>
      </c>
      <c r="C212" s="243"/>
      <c r="D212" s="243"/>
      <c r="E212" s="243"/>
      <c r="F212" s="243"/>
      <c r="G212" s="243"/>
    </row>
    <row r="213" spans="1:7" ht="13.5" customHeight="1">
      <c r="A213" s="132">
        <f>Exam_16</f>
        <v>16</v>
      </c>
      <c r="B213" s="244"/>
      <c r="C213" s="244"/>
      <c r="D213" s="244"/>
      <c r="E213" s="244"/>
      <c r="F213" s="244"/>
      <c r="G213" s="244"/>
    </row>
    <row r="214" spans="2:7" ht="13.5" customHeight="1">
      <c r="B214" s="50" t="s">
        <v>68</v>
      </c>
      <c r="C214" s="54" t="s">
        <v>58</v>
      </c>
      <c r="D214" s="54" t="s">
        <v>59</v>
      </c>
      <c r="E214" s="54" t="s">
        <v>60</v>
      </c>
      <c r="F214" s="54" t="s">
        <v>61</v>
      </c>
      <c r="G214" s="54" t="s">
        <v>62</v>
      </c>
    </row>
    <row r="215" spans="2:7" ht="13.5" customHeight="1">
      <c r="B215" s="51" t="s">
        <v>63</v>
      </c>
      <c r="C215" s="55" t="e">
        <f>0.2*AVERAGE(VLOOKUP(Exam_16,Sum_Accuracy,9,FALSE),VLOOKUP(Exam_16,Sum_Accuracy,10,FALSE))</f>
        <v>#VALUE!</v>
      </c>
      <c r="D215" s="55" t="e">
        <f>0.2*AVERAGE(VLOOKUP(Exam_16,Sum_Accuracy,9,FALSE),VLOOKUP(Exam_16,Sum_Accuracy,10,FALSE))</f>
        <v>#VALUE!</v>
      </c>
      <c r="E215" s="55" t="e">
        <f>0.2*AVERAGE(VLOOKUP(Exam_16,Sum_Accuracy,9,FALSE),VLOOKUP(Exam_16,Sum_Accuracy,10,FALSE))</f>
        <v>#VALUE!</v>
      </c>
      <c r="F215" s="55" t="e">
        <f>0.2*AVERAGE(VLOOKUP(Exam_16,Sum_Accuracy,9,FALSE),VLOOKUP(Exam_16,Sum_Accuracy,10,FALSE))</f>
        <v>#VALUE!</v>
      </c>
      <c r="G215" s="55" t="e">
        <f>0.2*AVERAGE(VLOOKUP(Exam_16,Sum_Accuracy,9,FALSE),VLOOKUP(Exam_16,Sum_Accuracy,10,FALSE))</f>
        <v>#VALUE!</v>
      </c>
    </row>
    <row r="216" spans="2:7" ht="13.5" customHeight="1">
      <c r="B216" s="51" t="s">
        <v>69</v>
      </c>
      <c r="C216" s="55" t="e">
        <f>0.2*AVERAGE(VLOOKUP(Exam_16,Sum_Accuracy,11,FALSE),VLOOKUP(Exam_16,Sum_Accuracy,12,FALSE))</f>
        <v>#VALUE!</v>
      </c>
      <c r="D216" s="55" t="e">
        <f>0.2*AVERAGE(VLOOKUP(Exam_16,Sum_Accuracy,11,FALSE),VLOOKUP(Exam_16,Sum_Accuracy,12,FALSE))</f>
        <v>#VALUE!</v>
      </c>
      <c r="E216" s="55" t="e">
        <f>0.2*AVERAGE(VLOOKUP(Exam_16,Sum_Accuracy,11,FALSE),VLOOKUP(Exam_16,Sum_Accuracy,12,FALSE))</f>
        <v>#VALUE!</v>
      </c>
      <c r="F216" s="55" t="e">
        <f>0.2*AVERAGE(VLOOKUP(Exam_16,Sum_Accuracy,11,FALSE),VLOOKUP(Exam_16,Sum_Accuracy,12,FALSE))</f>
        <v>#VALUE!</v>
      </c>
      <c r="G216" s="55" t="e">
        <f>0.2*AVERAGE(VLOOKUP(Exam_16,Sum_Accuracy,11,FALSE),VLOOKUP(Exam_16,Sum_Accuracy,12,FALSE))</f>
        <v>#VALUE!</v>
      </c>
    </row>
    <row r="217" spans="2:7" ht="13.5" customHeight="1">
      <c r="B217" s="51" t="s">
        <v>64</v>
      </c>
      <c r="C217" s="55" t="e">
        <f>0.2*AVERAGE(VLOOKUP(Exam_16,Sum_Accuracy,13,FALSE),VLOOKUP(Exam_16,Sum_Accuracy,14,FALSE))</f>
        <v>#VALUE!</v>
      </c>
      <c r="D217" s="55" t="e">
        <f>0.2*AVERAGE(VLOOKUP(Exam_16,Sum_Accuracy,13,FALSE),VLOOKUP(Exam_16,Sum_Accuracy,14,FALSE))</f>
        <v>#VALUE!</v>
      </c>
      <c r="E217" s="55" t="e">
        <f>0.2*AVERAGE(VLOOKUP(Exam_16,Sum_Accuracy,13,FALSE),VLOOKUP(Exam_16,Sum_Accuracy,14,FALSE))</f>
        <v>#VALUE!</v>
      </c>
      <c r="F217" s="55" t="e">
        <f>0.2*AVERAGE(VLOOKUP(Exam_16,Sum_Accuracy,13,FALSE),VLOOKUP(Exam_16,Sum_Accuracy,14,FALSE))</f>
        <v>#VALUE!</v>
      </c>
      <c r="G217" s="55" t="e">
        <f>0.2*AVERAGE(VLOOKUP(Exam_16,Sum_Accuracy,13,FALSE),VLOOKUP(Exam_16,Sum_Accuracy,14,FALSE))</f>
        <v>#VALUE!</v>
      </c>
    </row>
    <row r="218" spans="2:7" ht="13.5" customHeight="1">
      <c r="B218" s="51" t="s">
        <v>65</v>
      </c>
      <c r="C218" s="55" t="e">
        <f>0.2*AVERAGE(VLOOKUP(Exam_16,Sum_Accuracy,15,FALSE),VLOOKUP(Exam_16,Sum_Accuracy,16,FALSE))</f>
        <v>#VALUE!</v>
      </c>
      <c r="D218" s="55" t="e">
        <f>0.2*AVERAGE(VLOOKUP(Exam_16,Sum_Accuracy,15,FALSE),VLOOKUP(Exam_16,Sum_Accuracy,16,FALSE))</f>
        <v>#VALUE!</v>
      </c>
      <c r="E218" s="55" t="e">
        <f>0.2*AVERAGE(VLOOKUP(Exam_16,Sum_Accuracy,15,FALSE),VLOOKUP(Exam_16,Sum_Accuracy,16,FALSE))</f>
        <v>#VALUE!</v>
      </c>
      <c r="F218" s="55" t="e">
        <f>0.2*AVERAGE(VLOOKUP(Exam_16,Sum_Accuracy,15,FALSE),VLOOKUP(Exam_16,Sum_Accuracy,16,FALSE))</f>
        <v>#VALUE!</v>
      </c>
      <c r="G218" s="55" t="e">
        <f>0.2*AVERAGE(VLOOKUP(Exam_16,Sum_Accuracy,15,FALSE),VLOOKUP(Exam_16,Sum_Accuracy,16,FALSE))</f>
        <v>#VALUE!</v>
      </c>
    </row>
    <row r="219" spans="2:7" ht="13.5" customHeight="1">
      <c r="B219" s="51" t="s">
        <v>66</v>
      </c>
      <c r="C219" s="55" t="e">
        <f>VLOOKUP(Exam_16,Sum_Accuracy,8,FALSE)/5</f>
        <v>#VALUE!</v>
      </c>
      <c r="D219" s="55" t="e">
        <f>VLOOKUP(Exam_16,Sum_Accuracy,8,FALSE)/5</f>
        <v>#VALUE!</v>
      </c>
      <c r="E219" s="55" t="e">
        <f>VLOOKUP(Exam_16,Sum_Accuracy,8,FALSE)/5</f>
        <v>#VALUE!</v>
      </c>
      <c r="F219" s="55" t="e">
        <f>VLOOKUP(Exam_16,Sum_Accuracy,8,FALSE)/5</f>
        <v>#VALUE!</v>
      </c>
      <c r="G219" s="55" t="e">
        <f>VLOOKUP(Exam_16,Sum_Accuracy,8,FALSE)/5</f>
        <v>#VALUE!</v>
      </c>
    </row>
    <row r="220" spans="2:7" ht="13.5" customHeight="1">
      <c r="B220" s="241"/>
      <c r="C220" s="241"/>
      <c r="D220" s="241"/>
      <c r="E220" s="241"/>
      <c r="F220" s="241"/>
      <c r="G220" s="241"/>
    </row>
    <row r="222" spans="2:7" ht="13.5" customHeight="1">
      <c r="B222" s="245" t="s">
        <v>67</v>
      </c>
      <c r="C222" s="245"/>
      <c r="D222" s="245"/>
      <c r="E222" s="245"/>
      <c r="F222" s="245"/>
      <c r="G222" s="245"/>
    </row>
    <row r="223" spans="2:7" ht="13.5" customHeight="1">
      <c r="B223" s="246"/>
      <c r="C223" s="246"/>
      <c r="D223" s="246"/>
      <c r="E223" s="246"/>
      <c r="F223" s="246"/>
      <c r="G223" s="246"/>
    </row>
    <row r="224" spans="2:7" ht="13.5" customHeight="1">
      <c r="B224" s="52" t="s">
        <v>71</v>
      </c>
      <c r="C224" s="242" t="str">
        <f>BeerName1</f>
        <v>Style1</v>
      </c>
      <c r="D224" s="242"/>
      <c r="E224" s="242"/>
      <c r="F224" s="242"/>
      <c r="G224" s="242"/>
    </row>
    <row r="225" spans="2:7" ht="13.5" customHeight="1">
      <c r="B225" s="241"/>
      <c r="C225" s="241"/>
      <c r="D225" s="241"/>
      <c r="E225" s="241"/>
      <c r="F225" s="241"/>
      <c r="G225" s="241"/>
    </row>
    <row r="226" spans="2:7" ht="13.5" customHeight="1">
      <c r="B226" s="50" t="s">
        <v>68</v>
      </c>
      <c r="C226" s="54" t="s">
        <v>58</v>
      </c>
      <c r="D226" s="54" t="s">
        <v>59</v>
      </c>
      <c r="E226" s="54" t="s">
        <v>60</v>
      </c>
      <c r="F226" s="54" t="s">
        <v>61</v>
      </c>
      <c r="G226" s="54" t="s">
        <v>62</v>
      </c>
    </row>
    <row r="227" spans="2:7" ht="13.5" customHeight="1">
      <c r="B227" s="51" t="s">
        <v>63</v>
      </c>
      <c r="C227" s="55" t="e">
        <f>VLOOKUP(Exam_16,AverageScores,b1_perception,FALSE)</f>
        <v>#DIV/0!</v>
      </c>
      <c r="D227" s="55" t="e">
        <f>VLOOKUP(Exam_16,AverageScores,b1_perception,FALSE)</f>
        <v>#DIV/0!</v>
      </c>
      <c r="E227" s="55" t="e">
        <f>VLOOKUP(Exam_16,AverageScores,b1_perception,FALSE)</f>
        <v>#DIV/0!</v>
      </c>
      <c r="F227" s="55" t="e">
        <f>VLOOKUP(Exam_16,AverageScores,b1_perception,FALSE)</f>
        <v>#DIV/0!</v>
      </c>
      <c r="G227" s="55" t="e">
        <f>VLOOKUP(Exam_16,AverageScores,b1_perception,FALSE)</f>
        <v>#DIV/0!</v>
      </c>
    </row>
    <row r="228" spans="2:7" ht="13.5" customHeight="1">
      <c r="B228" s="51" t="s">
        <v>69</v>
      </c>
      <c r="C228" s="55" t="e">
        <f>VLOOKUP(Exam_16,AverageScores,b1_descriptive,FALSE)</f>
        <v>#DIV/0!</v>
      </c>
      <c r="D228" s="55" t="e">
        <f>VLOOKUP(Exam_16,AverageScores,b1_descriptive,FALSE)</f>
        <v>#DIV/0!</v>
      </c>
      <c r="E228" s="55" t="e">
        <f>VLOOKUP(Exam_16,AverageScores,b1_descriptive,FALSE)</f>
        <v>#DIV/0!</v>
      </c>
      <c r="F228" s="55" t="e">
        <f>VLOOKUP(Exam_16,AverageScores,b1_descriptive,FALSE)</f>
        <v>#DIV/0!</v>
      </c>
      <c r="G228" s="55" t="e">
        <f>VLOOKUP(Exam_16,AverageScores,b1_descriptive,FALSE)</f>
        <v>#DIV/0!</v>
      </c>
    </row>
    <row r="229" spans="2:7" ht="13.5" customHeight="1">
      <c r="B229" s="51" t="s">
        <v>64</v>
      </c>
      <c r="C229" s="55" t="e">
        <f>VLOOKUP(Exam_16,AverageScores,b1_feedback,FALSE)</f>
        <v>#DIV/0!</v>
      </c>
      <c r="D229" s="55" t="e">
        <f>VLOOKUP(Exam_16,AverageScores,b1_feedback,FALSE)</f>
        <v>#DIV/0!</v>
      </c>
      <c r="E229" s="55" t="e">
        <f>VLOOKUP(Exam_16,AverageScores,b1_feedback,FALSE)</f>
        <v>#DIV/0!</v>
      </c>
      <c r="F229" s="55" t="e">
        <f>VLOOKUP(Exam_16,AverageScores,b1_feedback,FALSE)</f>
        <v>#DIV/0!</v>
      </c>
      <c r="G229" s="55" t="e">
        <f>VLOOKUP(Exam_16,AverageScores,b1_feedback,FALSE)</f>
        <v>#DIV/0!</v>
      </c>
    </row>
    <row r="230" spans="2:7" ht="13.5" customHeight="1">
      <c r="B230" s="51" t="s">
        <v>65</v>
      </c>
      <c r="C230" s="55" t="e">
        <f>VLOOKUP(Exam_16,AverageScores,b1_completeness,FALSE)</f>
        <v>#DIV/0!</v>
      </c>
      <c r="D230" s="55" t="e">
        <f>VLOOKUP(Exam_16,AverageScores,b1_completeness,FALSE)</f>
        <v>#DIV/0!</v>
      </c>
      <c r="E230" s="55" t="e">
        <f>VLOOKUP(Exam_16,AverageScores,b1_completeness,FALSE)</f>
        <v>#DIV/0!</v>
      </c>
      <c r="F230" s="55" t="e">
        <f>VLOOKUP(Exam_16,AverageScores,b1_completeness,FALSE)</f>
        <v>#DIV/0!</v>
      </c>
      <c r="G230" s="55" t="e">
        <f>VLOOKUP(Exam_16,AverageScores,b1_completeness,FALSE)</f>
        <v>#DIV/0!</v>
      </c>
    </row>
    <row r="231" spans="2:7" ht="13.5" customHeight="1">
      <c r="B231" s="51" t="s">
        <v>66</v>
      </c>
      <c r="C231" s="55">
        <f>VLOOKUP(Exam_16,ScoringAccuracyTable,b1_accuracy,FALSE)</f>
      </c>
      <c r="D231" s="55">
        <f>VLOOKUP(Exam_16,ScoringAccuracyTable,b1_accuracy,FALSE)</f>
      </c>
      <c r="E231" s="55">
        <f>VLOOKUP(Exam_16,ScoringAccuracyTable,b1_accuracy,FALSE)</f>
      </c>
      <c r="F231" s="55">
        <f>VLOOKUP(Exam_16,ScoringAccuracyTable,b1_accuracy,FALSE)</f>
      </c>
      <c r="G231" s="55">
        <f>VLOOKUP(Exam_16,ScoringAccuracyTable,b1_accuracy,FALSE)</f>
      </c>
    </row>
    <row r="232" spans="2:7" ht="13.5" customHeight="1">
      <c r="B232" s="241"/>
      <c r="C232" s="241"/>
      <c r="D232" s="241"/>
      <c r="E232" s="241"/>
      <c r="F232" s="241"/>
      <c r="G232" s="241"/>
    </row>
    <row r="233" spans="2:7" ht="13.5" customHeight="1">
      <c r="B233" s="52" t="s">
        <v>72</v>
      </c>
      <c r="C233" s="242" t="str">
        <f>BeerName2</f>
        <v>Style2</v>
      </c>
      <c r="D233" s="242"/>
      <c r="E233" s="242"/>
      <c r="F233" s="242"/>
      <c r="G233" s="242"/>
    </row>
    <row r="234" spans="2:7" ht="13.5" customHeight="1">
      <c r="B234" s="247"/>
      <c r="C234" s="247"/>
      <c r="D234" s="247"/>
      <c r="E234" s="247"/>
      <c r="F234" s="247"/>
      <c r="G234" s="247"/>
    </row>
    <row r="235" spans="2:7" ht="13.5" customHeight="1">
      <c r="B235" s="50" t="s">
        <v>68</v>
      </c>
      <c r="C235" s="56" t="s">
        <v>58</v>
      </c>
      <c r="D235" s="56" t="s">
        <v>59</v>
      </c>
      <c r="E235" s="56" t="s">
        <v>60</v>
      </c>
      <c r="F235" s="56" t="s">
        <v>61</v>
      </c>
      <c r="G235" s="56" t="s">
        <v>62</v>
      </c>
    </row>
    <row r="236" spans="2:7" ht="13.5" customHeight="1">
      <c r="B236" s="51" t="s">
        <v>63</v>
      </c>
      <c r="C236" s="55" t="e">
        <f>VLOOKUP(Exam_16,AverageScores,b2_perceptive,FALSE)</f>
        <v>#DIV/0!</v>
      </c>
      <c r="D236" s="55" t="e">
        <f>VLOOKUP(Exam_16,AverageScores,b2_perceptive,FALSE)</f>
        <v>#DIV/0!</v>
      </c>
      <c r="E236" s="55" t="e">
        <f>VLOOKUP(Exam_16,AverageScores,b2_perceptive,FALSE)</f>
        <v>#DIV/0!</v>
      </c>
      <c r="F236" s="55" t="e">
        <f>VLOOKUP(Exam_16,AverageScores,b2_perceptive,FALSE)</f>
        <v>#DIV/0!</v>
      </c>
      <c r="G236" s="55" t="e">
        <f>VLOOKUP(Exam_16,AverageScores,b2_perceptive,FALSE)</f>
        <v>#DIV/0!</v>
      </c>
    </row>
    <row r="237" spans="2:7" ht="13.5" customHeight="1">
      <c r="B237" s="51" t="s">
        <v>69</v>
      </c>
      <c r="C237" s="55" t="e">
        <f>VLOOKUP(Exam_16,AverageScores,b2_descriptive,FALSE)</f>
        <v>#DIV/0!</v>
      </c>
      <c r="D237" s="55" t="e">
        <f>VLOOKUP(Exam_16,AverageScores,b2_descriptive,FALSE)</f>
        <v>#DIV/0!</v>
      </c>
      <c r="E237" s="55" t="e">
        <f>VLOOKUP(Exam_16,AverageScores,b2_descriptive,FALSE)</f>
        <v>#DIV/0!</v>
      </c>
      <c r="F237" s="55" t="e">
        <f>VLOOKUP(Exam_16,AverageScores,b2_descriptive,FALSE)</f>
        <v>#DIV/0!</v>
      </c>
      <c r="G237" s="55" t="e">
        <f>VLOOKUP(Exam_16,AverageScores,b2_descriptive,FALSE)</f>
        <v>#DIV/0!</v>
      </c>
    </row>
    <row r="238" spans="2:7" ht="13.5" customHeight="1">
      <c r="B238" s="51" t="s">
        <v>64</v>
      </c>
      <c r="C238" s="55" t="e">
        <f>VLOOKUP(Exam_16,AverageScores,b2_feedback,FALSE)</f>
        <v>#DIV/0!</v>
      </c>
      <c r="D238" s="55" t="e">
        <f>VLOOKUP(Exam_16,AverageScores,b2_feedback,FALSE)</f>
        <v>#DIV/0!</v>
      </c>
      <c r="E238" s="55" t="e">
        <f>VLOOKUP(Exam_16,AverageScores,b2_feedback,FALSE)</f>
        <v>#DIV/0!</v>
      </c>
      <c r="F238" s="55" t="e">
        <f>VLOOKUP(Exam_16,AverageScores,b2_feedback,FALSE)</f>
        <v>#DIV/0!</v>
      </c>
      <c r="G238" s="55" t="e">
        <f>VLOOKUP(Exam_16,AverageScores,b2_feedback,FALSE)</f>
        <v>#DIV/0!</v>
      </c>
    </row>
    <row r="239" spans="2:7" ht="13.5" customHeight="1">
      <c r="B239" s="51" t="s">
        <v>65</v>
      </c>
      <c r="C239" s="55" t="e">
        <f>VLOOKUP(Exam_16,AverageScores,b2_completeness,FALSE)</f>
        <v>#DIV/0!</v>
      </c>
      <c r="D239" s="55" t="e">
        <f>VLOOKUP(Exam_16,AverageScores,b2_completeness,FALSE)</f>
        <v>#DIV/0!</v>
      </c>
      <c r="E239" s="55" t="e">
        <f>VLOOKUP(Exam_16,AverageScores,b2_completeness,FALSE)</f>
        <v>#DIV/0!</v>
      </c>
      <c r="F239" s="55" t="e">
        <f>VLOOKUP(Exam_16,AverageScores,b2_completeness,FALSE)</f>
        <v>#DIV/0!</v>
      </c>
      <c r="G239" s="55" t="e">
        <f>VLOOKUP(Exam_16,AverageScores,b2_completeness,FALSE)</f>
        <v>#DIV/0!</v>
      </c>
    </row>
    <row r="240" spans="2:7" ht="13.5" customHeight="1">
      <c r="B240" s="51" t="s">
        <v>66</v>
      </c>
      <c r="C240" s="55">
        <f>VLOOKUP(Exam_16,ScoringAccuracyTable,b2_accuracy,FALSE)</f>
      </c>
      <c r="D240" s="55">
        <f>VLOOKUP(Exam_16,ScoringAccuracyTable,b2_accuracy,FALSE)</f>
      </c>
      <c r="E240" s="55">
        <f>VLOOKUP(Exam_16,ScoringAccuracyTable,b2_accuracy,FALSE)</f>
      </c>
      <c r="F240" s="55">
        <f>VLOOKUP(Exam_16,ScoringAccuracyTable,b2_accuracy,FALSE)</f>
      </c>
      <c r="G240" s="55">
        <f>VLOOKUP(Exam_16,ScoringAccuracyTable,b2_accuracy,FALSE)</f>
      </c>
    </row>
    <row r="241" spans="2:7" ht="13.5" customHeight="1">
      <c r="B241" s="241"/>
      <c r="C241" s="241"/>
      <c r="D241" s="241"/>
      <c r="E241" s="241"/>
      <c r="F241" s="241"/>
      <c r="G241" s="241"/>
    </row>
    <row r="242" spans="2:7" ht="13.5" customHeight="1">
      <c r="B242" s="52" t="s">
        <v>76</v>
      </c>
      <c r="C242" s="242" t="str">
        <f>BeerName3</f>
        <v>Style3</v>
      </c>
      <c r="D242" s="242"/>
      <c r="E242" s="242"/>
      <c r="F242" s="242"/>
      <c r="G242" s="242"/>
    </row>
    <row r="243" spans="2:7" ht="13.5" customHeight="1">
      <c r="B243" s="247"/>
      <c r="C243" s="247"/>
      <c r="D243" s="247"/>
      <c r="E243" s="247"/>
      <c r="F243" s="247"/>
      <c r="G243" s="247"/>
    </row>
    <row r="244" spans="2:7" ht="13.5" customHeight="1">
      <c r="B244" s="50" t="s">
        <v>68</v>
      </c>
      <c r="C244" s="54" t="s">
        <v>58</v>
      </c>
      <c r="D244" s="54" t="s">
        <v>59</v>
      </c>
      <c r="E244" s="54" t="s">
        <v>60</v>
      </c>
      <c r="F244" s="54" t="s">
        <v>61</v>
      </c>
      <c r="G244" s="54" t="s">
        <v>62</v>
      </c>
    </row>
    <row r="245" spans="2:7" ht="13.5" customHeight="1">
      <c r="B245" s="51" t="s">
        <v>63</v>
      </c>
      <c r="C245" s="55" t="e">
        <f>VLOOKUP(Exam_16,AverageScores,b3_perception,FALSE)</f>
        <v>#DIV/0!</v>
      </c>
      <c r="D245" s="55" t="e">
        <f>VLOOKUP(Exam_16,AverageScores,b3_perception,FALSE)</f>
        <v>#DIV/0!</v>
      </c>
      <c r="E245" s="57" t="e">
        <f>VLOOKUP(Exam_16,AverageScores,b3_perception,FALSE)</f>
        <v>#DIV/0!</v>
      </c>
      <c r="F245" s="57" t="e">
        <f>VLOOKUP(Exam_16,AverageScores,b3_perception,FALSE)</f>
        <v>#DIV/0!</v>
      </c>
      <c r="G245" s="57" t="e">
        <f>VLOOKUP(Exam_16,AverageScores,b3_perception,FALSE)</f>
        <v>#DIV/0!</v>
      </c>
    </row>
    <row r="246" spans="2:7" ht="13.5" customHeight="1">
      <c r="B246" s="51" t="s">
        <v>69</v>
      </c>
      <c r="C246" s="55" t="e">
        <f>VLOOKUP(Exam_16,AverageScores,b3_descriptive,FALSE)</f>
        <v>#DIV/0!</v>
      </c>
      <c r="D246" s="55" t="e">
        <f>VLOOKUP(Exam_16,AverageScores,b3_descriptive,FALSE)</f>
        <v>#DIV/0!</v>
      </c>
      <c r="E246" s="57" t="e">
        <f>VLOOKUP(Exam_16,AverageScores,b3_descriptive,FALSE)</f>
        <v>#DIV/0!</v>
      </c>
      <c r="F246" s="55" t="e">
        <f>VLOOKUP(Exam_16,AverageScores,b3_descriptive,FALSE)</f>
        <v>#DIV/0!</v>
      </c>
      <c r="G246" s="55" t="e">
        <f>VLOOKUP(Exam_16,AverageScores,b3_descriptive,FALSE)</f>
        <v>#DIV/0!</v>
      </c>
    </row>
    <row r="247" spans="2:7" ht="13.5" customHeight="1">
      <c r="B247" s="51" t="s">
        <v>64</v>
      </c>
      <c r="C247" s="55" t="e">
        <f>VLOOKUP(Exam_16,AverageScores,b3_feedback,FALSE)</f>
        <v>#DIV/0!</v>
      </c>
      <c r="D247" s="55" t="e">
        <f>VLOOKUP(Exam_16,AverageScores,b3_feedback,FALSE)</f>
        <v>#DIV/0!</v>
      </c>
      <c r="E247" s="57" t="e">
        <f>VLOOKUP(Exam_16,AverageScores,b3_feedback,FALSE)</f>
        <v>#DIV/0!</v>
      </c>
      <c r="F247" s="55" t="e">
        <f>VLOOKUP(Exam_16,AverageScores,b3_feedback,FALSE)</f>
        <v>#DIV/0!</v>
      </c>
      <c r="G247" s="55" t="e">
        <f>VLOOKUP(Exam_16,AverageScores,b3_feedback,FALSE)</f>
        <v>#DIV/0!</v>
      </c>
    </row>
    <row r="248" spans="2:7" ht="13.5" customHeight="1">
      <c r="B248" s="51" t="s">
        <v>65</v>
      </c>
      <c r="C248" s="55" t="e">
        <f>VLOOKUP(Exam_16,AverageScores,b3_completeness,FALSE)</f>
        <v>#DIV/0!</v>
      </c>
      <c r="D248" s="55" t="e">
        <f>VLOOKUP(Exam_16,AverageScores,b3_completeness,FALSE)</f>
        <v>#DIV/0!</v>
      </c>
      <c r="E248" s="57" t="e">
        <f>VLOOKUP(Exam_16,AverageScores,b3_completeness,FALSE)</f>
        <v>#DIV/0!</v>
      </c>
      <c r="F248" s="55" t="e">
        <f>VLOOKUP(Exam_16,AverageScores,b3_completeness,FALSE)</f>
        <v>#DIV/0!</v>
      </c>
      <c r="G248" s="55" t="e">
        <f>VLOOKUP(Exam_16,AverageScores,b3_completeness,FALSE)</f>
        <v>#DIV/0!</v>
      </c>
    </row>
    <row r="249" spans="2:7" ht="13.5" customHeight="1">
      <c r="B249" s="51" t="s">
        <v>66</v>
      </c>
      <c r="C249" s="55">
        <f>VLOOKUP(Exam_16,ScoringAccuracyTable,b3_accuracy,FALSE)</f>
      </c>
      <c r="D249" s="55">
        <f>VLOOKUP(Exam_16,ScoringAccuracyTable,b3_accuracy,FALSE)</f>
      </c>
      <c r="E249" s="57">
        <f>VLOOKUP(Exam_16,ScoringAccuracyTable,b3_accuracy,FALSE)</f>
      </c>
      <c r="F249" s="55">
        <f>VLOOKUP(Exam_16,ScoringAccuracyTable,b3_accuracy,FALSE)</f>
      </c>
      <c r="G249" s="55">
        <f>VLOOKUP(Exam_16,ScoringAccuracyTable,b3_accuracy,FALSE)</f>
      </c>
    </row>
    <row r="250" spans="2:7" ht="13.5" customHeight="1">
      <c r="B250" s="241"/>
      <c r="C250" s="241"/>
      <c r="D250" s="241"/>
      <c r="E250" s="241"/>
      <c r="F250" s="241"/>
      <c r="G250" s="241"/>
    </row>
    <row r="251" spans="2:7" ht="13.5" customHeight="1">
      <c r="B251" s="52" t="s">
        <v>75</v>
      </c>
      <c r="C251" s="242" t="str">
        <f>BeerName4</f>
        <v>Style4</v>
      </c>
      <c r="D251" s="242"/>
      <c r="E251" s="242"/>
      <c r="F251" s="242"/>
      <c r="G251" s="242"/>
    </row>
    <row r="252" spans="2:7" ht="13.5" customHeight="1">
      <c r="B252" s="241"/>
      <c r="C252" s="241"/>
      <c r="D252" s="241"/>
      <c r="E252" s="241"/>
      <c r="F252" s="241"/>
      <c r="G252" s="241"/>
    </row>
    <row r="253" spans="2:7" ht="13.5" customHeight="1">
      <c r="B253" s="50" t="s">
        <v>68</v>
      </c>
      <c r="C253" s="54" t="s">
        <v>58</v>
      </c>
      <c r="D253" s="54" t="s">
        <v>59</v>
      </c>
      <c r="E253" s="54" t="s">
        <v>60</v>
      </c>
      <c r="F253" s="54" t="s">
        <v>61</v>
      </c>
      <c r="G253" s="54" t="s">
        <v>62</v>
      </c>
    </row>
    <row r="254" spans="2:7" ht="13.5" customHeight="1">
      <c r="B254" s="51" t="s">
        <v>63</v>
      </c>
      <c r="C254" s="55" t="e">
        <f>VLOOKUP(Exam_16,AverageScores,b4_perception,FALSE)</f>
        <v>#DIV/0!</v>
      </c>
      <c r="D254" s="55" t="e">
        <f>VLOOKUP(Exam_16,AverageScores,b4_perception,FALSE)</f>
        <v>#DIV/0!</v>
      </c>
      <c r="E254" s="55" t="e">
        <f>VLOOKUP(Exam_16,AverageScores,b4_perception,FALSE)</f>
        <v>#DIV/0!</v>
      </c>
      <c r="F254" s="55" t="e">
        <f>VLOOKUP(Exam_16,AverageScores,b4_perception,FALSE)</f>
        <v>#DIV/0!</v>
      </c>
      <c r="G254" s="55" t="e">
        <f>VLOOKUP(Exam_16,AverageScores,b4_perception,FALSE)</f>
        <v>#DIV/0!</v>
      </c>
    </row>
    <row r="255" spans="2:7" ht="13.5" customHeight="1">
      <c r="B255" s="51" t="s">
        <v>69</v>
      </c>
      <c r="C255" s="55" t="e">
        <f>VLOOKUP(Exam_16,AverageScores,b4_descriptive,FALSE)</f>
        <v>#DIV/0!</v>
      </c>
      <c r="D255" s="55" t="e">
        <f>VLOOKUP(Exam_16,AverageScores,b4_descriptive,FALSE)</f>
        <v>#DIV/0!</v>
      </c>
      <c r="E255" s="55" t="e">
        <f>VLOOKUP(Exam_16,AverageScores,b4_descriptive,FALSE)</f>
        <v>#DIV/0!</v>
      </c>
      <c r="F255" s="55" t="e">
        <f>VLOOKUP(Exam_16,AverageScores,b4_descriptive,FALSE)</f>
        <v>#DIV/0!</v>
      </c>
      <c r="G255" s="55" t="e">
        <f>VLOOKUP(Exam_16,AverageScores,b4_descriptive,FALSE)</f>
        <v>#DIV/0!</v>
      </c>
    </row>
    <row r="256" spans="2:7" ht="13.5" customHeight="1">
      <c r="B256" s="51" t="s">
        <v>64</v>
      </c>
      <c r="C256" s="55" t="e">
        <f>VLOOKUP(Exam_16,AverageScores,b4_feedback,FALSE)</f>
        <v>#DIV/0!</v>
      </c>
      <c r="D256" s="55" t="e">
        <f>VLOOKUP(Exam_16,AverageScores,b4_feedback,FALSE)</f>
        <v>#DIV/0!</v>
      </c>
      <c r="E256" s="55" t="e">
        <f>VLOOKUP(Exam_16,AverageScores,b4_feedback,FALSE)</f>
        <v>#DIV/0!</v>
      </c>
      <c r="F256" s="55" t="e">
        <f>VLOOKUP(Exam_16,AverageScores,b4_feedback,FALSE)</f>
        <v>#DIV/0!</v>
      </c>
      <c r="G256" s="55" t="e">
        <f>VLOOKUP(Exam_16,AverageScores,b4_feedback,FALSE)</f>
        <v>#DIV/0!</v>
      </c>
    </row>
    <row r="257" spans="2:7" ht="13.5" customHeight="1">
      <c r="B257" s="51" t="s">
        <v>65</v>
      </c>
      <c r="C257" s="55" t="e">
        <f>VLOOKUP(Exam_16,AverageScores,b4_completeness,FALSE)</f>
        <v>#DIV/0!</v>
      </c>
      <c r="D257" s="55" t="e">
        <f>VLOOKUP(Exam_16,AverageScores,b4_completeness,FALSE)</f>
        <v>#DIV/0!</v>
      </c>
      <c r="E257" s="55" t="e">
        <f>VLOOKUP(Exam_16,AverageScores,b4_completeness,FALSE)</f>
        <v>#DIV/0!</v>
      </c>
      <c r="F257" s="55" t="e">
        <f>VLOOKUP(Exam_16,AverageScores,b4_completeness,FALSE)</f>
        <v>#DIV/0!</v>
      </c>
      <c r="G257" s="55" t="e">
        <f>VLOOKUP(Exam_16,AverageScores,b4_completeness,FALSE)</f>
        <v>#DIV/0!</v>
      </c>
    </row>
    <row r="258" spans="2:7" ht="13.5" customHeight="1">
      <c r="B258" s="51" t="s">
        <v>66</v>
      </c>
      <c r="C258" s="55">
        <f>VLOOKUP(Exam_16,ScoringAccuracyTable,b4_accuracy,FALSE)</f>
      </c>
      <c r="D258" s="55">
        <f>VLOOKUP(Exam_16,ScoringAccuracyTable,b4_accuracy,FALSE)</f>
      </c>
      <c r="E258" s="55">
        <f>VLOOKUP(Exam_16,ScoringAccuracyTable,b4_accuracy,FALSE)</f>
      </c>
      <c r="F258" s="55">
        <f>VLOOKUP(Exam_16,ScoringAccuracyTable,b4_accuracy,FALSE)</f>
      </c>
      <c r="G258" s="55">
        <f>VLOOKUP(Exam_16,ScoringAccuracyTable,b4_accuracy,FALSE)</f>
      </c>
    </row>
    <row r="259" spans="2:7" ht="13.5" customHeight="1">
      <c r="B259" s="241"/>
      <c r="C259" s="241"/>
      <c r="D259" s="241"/>
      <c r="E259" s="241"/>
      <c r="F259" s="241"/>
      <c r="G259" s="241"/>
    </row>
    <row r="264" spans="2:7" ht="13.5" customHeight="1">
      <c r="B264" s="52" t="s">
        <v>74</v>
      </c>
      <c r="C264" s="242" t="str">
        <f>BeerName5</f>
        <v>Style5</v>
      </c>
      <c r="D264" s="242"/>
      <c r="E264" s="242"/>
      <c r="F264" s="242"/>
      <c r="G264" s="242"/>
    </row>
    <row r="265" spans="2:7" ht="13.5" customHeight="1">
      <c r="B265" s="241"/>
      <c r="C265" s="241"/>
      <c r="D265" s="241"/>
      <c r="E265" s="241"/>
      <c r="F265" s="241"/>
      <c r="G265" s="241"/>
    </row>
    <row r="266" spans="2:7" ht="13.5" customHeight="1">
      <c r="B266" s="50" t="s">
        <v>68</v>
      </c>
      <c r="C266" s="54" t="s">
        <v>58</v>
      </c>
      <c r="D266" s="54" t="s">
        <v>59</v>
      </c>
      <c r="E266" s="54" t="s">
        <v>60</v>
      </c>
      <c r="F266" s="54" t="s">
        <v>61</v>
      </c>
      <c r="G266" s="54" t="s">
        <v>62</v>
      </c>
    </row>
    <row r="267" spans="2:7" ht="13.5" customHeight="1">
      <c r="B267" s="51" t="s">
        <v>63</v>
      </c>
      <c r="C267" s="55" t="e">
        <f>VLOOKUP(Exam_16,AverageScores,b5_perception,FALSE)</f>
        <v>#DIV/0!</v>
      </c>
      <c r="D267" s="55" t="e">
        <f>VLOOKUP(Exam_16,AverageScores,b5_perception,FALSE)</f>
        <v>#DIV/0!</v>
      </c>
      <c r="E267" s="55" t="e">
        <f>VLOOKUP(Exam_16,AverageScores,b5_perception,FALSE)</f>
        <v>#DIV/0!</v>
      </c>
      <c r="F267" s="55" t="e">
        <f>VLOOKUP(Exam_16,AverageScores,b5_perception,FALSE)</f>
        <v>#DIV/0!</v>
      </c>
      <c r="G267" s="55" t="e">
        <f>VLOOKUP(Exam_16,AverageScores,b5_perception,FALSE)</f>
        <v>#DIV/0!</v>
      </c>
    </row>
    <row r="268" spans="2:7" ht="13.5" customHeight="1">
      <c r="B268" s="51" t="s">
        <v>69</v>
      </c>
      <c r="C268" s="55" t="e">
        <f>VLOOKUP(Exam_16,AverageScores,b5_descriptive,FALSE)</f>
        <v>#DIV/0!</v>
      </c>
      <c r="D268" s="55" t="e">
        <f>VLOOKUP(Exam_16,AverageScores,b5_descriptive,FALSE)</f>
        <v>#DIV/0!</v>
      </c>
      <c r="E268" s="55" t="e">
        <f>VLOOKUP(Exam_16,AverageScores,b5_descriptive,FALSE)</f>
        <v>#DIV/0!</v>
      </c>
      <c r="F268" s="55" t="e">
        <f>VLOOKUP(Exam_16,AverageScores,b5_descriptive,FALSE)</f>
        <v>#DIV/0!</v>
      </c>
      <c r="G268" s="55" t="e">
        <f>VLOOKUP(Exam_16,AverageScores,b5_descriptive,FALSE)</f>
        <v>#DIV/0!</v>
      </c>
    </row>
    <row r="269" spans="2:7" ht="13.5" customHeight="1">
      <c r="B269" s="51" t="s">
        <v>64</v>
      </c>
      <c r="C269" s="55" t="e">
        <f>VLOOKUP(Exam_16,AverageScores,b5_feedback,FALSE)</f>
        <v>#DIV/0!</v>
      </c>
      <c r="D269" s="55" t="e">
        <f>VLOOKUP(Exam_16,AverageScores,b5_feedback,FALSE)</f>
        <v>#DIV/0!</v>
      </c>
      <c r="E269" s="55" t="e">
        <f>VLOOKUP(Exam_16,AverageScores,b5_feedback,FALSE)</f>
        <v>#DIV/0!</v>
      </c>
      <c r="F269" s="55" t="e">
        <f>VLOOKUP(Exam_16,AverageScores,b5_feedback,FALSE)</f>
        <v>#DIV/0!</v>
      </c>
      <c r="G269" s="55" t="e">
        <f>VLOOKUP(Exam_16,AverageScores,b5_feedback,FALSE)</f>
        <v>#DIV/0!</v>
      </c>
    </row>
    <row r="270" spans="2:7" ht="13.5" customHeight="1">
      <c r="B270" s="51" t="s">
        <v>65</v>
      </c>
      <c r="C270" s="55" t="e">
        <f>VLOOKUP(Exam_16,AverageScores,b5_completeness,FALSE)</f>
        <v>#DIV/0!</v>
      </c>
      <c r="D270" s="55" t="e">
        <f>VLOOKUP(Exam_16,AverageScores,b5_completeness,FALSE)</f>
        <v>#DIV/0!</v>
      </c>
      <c r="E270" s="55" t="e">
        <f>VLOOKUP(Exam_16,AverageScores,b5_completeness,FALSE)</f>
        <v>#DIV/0!</v>
      </c>
      <c r="F270" s="55" t="e">
        <f>VLOOKUP(Exam_16,AverageScores,b5_completeness,FALSE)</f>
        <v>#DIV/0!</v>
      </c>
      <c r="G270" s="55" t="e">
        <f>VLOOKUP(Exam_16,AverageScores,b5_completeness,FALSE)</f>
        <v>#DIV/0!</v>
      </c>
    </row>
    <row r="271" spans="2:7" ht="13.5" customHeight="1">
      <c r="B271" s="51" t="s">
        <v>66</v>
      </c>
      <c r="C271" s="55">
        <f>VLOOKUP(Exam_16,ScoringAccuracyTable,b5_accuracy,FALSE)</f>
      </c>
      <c r="D271" s="55">
        <f>VLOOKUP(Exam_16,ScoringAccuracyTable,b5_accuracy,FALSE)</f>
      </c>
      <c r="E271" s="55">
        <f>VLOOKUP(Exam_16,ScoringAccuracyTable,b5_accuracy,FALSE)</f>
      </c>
      <c r="F271" s="55">
        <f>VLOOKUP(Exam_16,ScoringAccuracyTable,b5_accuracy,FALSE)</f>
      </c>
      <c r="G271" s="55">
        <f>VLOOKUP(Exam_16,ScoringAccuracyTable,b5_accuracy,FALSE)</f>
      </c>
    </row>
    <row r="272" spans="2:7" ht="13.5" customHeight="1">
      <c r="B272" s="241"/>
      <c r="C272" s="241"/>
      <c r="D272" s="241"/>
      <c r="E272" s="241"/>
      <c r="F272" s="241"/>
      <c r="G272" s="241"/>
    </row>
    <row r="273" spans="2:7" ht="13.5" customHeight="1">
      <c r="B273" s="52" t="s">
        <v>73</v>
      </c>
      <c r="C273" s="242" t="str">
        <f>BeerName6</f>
        <v>Style6</v>
      </c>
      <c r="D273" s="242"/>
      <c r="E273" s="242"/>
      <c r="F273" s="242"/>
      <c r="G273" s="242"/>
    </row>
    <row r="274" spans="2:7" ht="13.5" customHeight="1">
      <c r="B274" s="241"/>
      <c r="C274" s="241"/>
      <c r="D274" s="241"/>
      <c r="E274" s="241"/>
      <c r="F274" s="241"/>
      <c r="G274" s="241"/>
    </row>
    <row r="275" spans="2:7" ht="13.5" customHeight="1">
      <c r="B275" s="50" t="s">
        <v>68</v>
      </c>
      <c r="C275" s="54" t="s">
        <v>58</v>
      </c>
      <c r="D275" s="54" t="s">
        <v>59</v>
      </c>
      <c r="E275" s="54" t="s">
        <v>60</v>
      </c>
      <c r="F275" s="54" t="s">
        <v>61</v>
      </c>
      <c r="G275" s="54" t="s">
        <v>62</v>
      </c>
    </row>
    <row r="276" spans="2:7" ht="13.5" customHeight="1">
      <c r="B276" s="51" t="s">
        <v>63</v>
      </c>
      <c r="C276" s="55" t="e">
        <f>VLOOKUP(Exam_16,AverageScores,b6_perception,FALSE)</f>
        <v>#DIV/0!</v>
      </c>
      <c r="D276" s="55" t="e">
        <f>VLOOKUP(Exam_16,AverageScores,b6_perception,FALSE)</f>
        <v>#DIV/0!</v>
      </c>
      <c r="E276" s="55" t="e">
        <f>VLOOKUP(Exam_16,AverageScores,b6_perception,FALSE)</f>
        <v>#DIV/0!</v>
      </c>
      <c r="F276" s="55" t="e">
        <f>VLOOKUP(Exam_16,AverageScores,b6_perception,FALSE)</f>
        <v>#DIV/0!</v>
      </c>
      <c r="G276" s="55" t="e">
        <f>VLOOKUP(Exam_16,AverageScores,b6_perception,FALSE)</f>
        <v>#DIV/0!</v>
      </c>
    </row>
    <row r="277" spans="2:7" ht="13.5" customHeight="1">
      <c r="B277" s="51" t="s">
        <v>69</v>
      </c>
      <c r="C277" s="55" t="e">
        <f>VLOOKUP(Exam_16,AverageScores,b6_descriptive,FALSE)</f>
        <v>#DIV/0!</v>
      </c>
      <c r="D277" s="55" t="e">
        <f>VLOOKUP(Exam_16,AverageScores,b6_descriptive,FALSE)</f>
        <v>#DIV/0!</v>
      </c>
      <c r="E277" s="55" t="e">
        <f>VLOOKUP(Exam_16,AverageScores,b6_descriptive,FALSE)</f>
        <v>#DIV/0!</v>
      </c>
      <c r="F277" s="55" t="e">
        <f>VLOOKUP(Exam_16,AverageScores,b6_descriptive,FALSE)</f>
        <v>#DIV/0!</v>
      </c>
      <c r="G277" s="55" t="e">
        <f>VLOOKUP(Exam_16,AverageScores,b6_descriptive,FALSE)</f>
        <v>#DIV/0!</v>
      </c>
    </row>
    <row r="278" spans="2:7" ht="13.5" customHeight="1">
      <c r="B278" s="51" t="s">
        <v>64</v>
      </c>
      <c r="C278" s="55" t="e">
        <f>VLOOKUP(Exam_16,AverageScores,b6_feedback,FALSE)</f>
        <v>#DIV/0!</v>
      </c>
      <c r="D278" s="55" t="e">
        <f>VLOOKUP(Exam_16,AverageScores,b6_feedback,FALSE)</f>
        <v>#DIV/0!</v>
      </c>
      <c r="E278" s="55" t="e">
        <f>VLOOKUP(Exam_16,AverageScores,b6_feedback,FALSE)</f>
        <v>#DIV/0!</v>
      </c>
      <c r="F278" s="55" t="e">
        <f>VLOOKUP(Exam_16,AverageScores,b6_feedback,FALSE)</f>
        <v>#DIV/0!</v>
      </c>
      <c r="G278" s="55" t="e">
        <f>VLOOKUP(Exam_16,AverageScores,b6_feedback,FALSE)</f>
        <v>#DIV/0!</v>
      </c>
    </row>
    <row r="279" spans="2:7" ht="13.5" customHeight="1">
      <c r="B279" s="51" t="s">
        <v>65</v>
      </c>
      <c r="C279" s="55" t="e">
        <f>VLOOKUP(Exam_16,AverageScores,b6_completeness,FALSE)</f>
        <v>#DIV/0!</v>
      </c>
      <c r="D279" s="55" t="e">
        <f>VLOOKUP(Exam_16,AverageScores,b6_completeness,FALSE)</f>
        <v>#DIV/0!</v>
      </c>
      <c r="E279" s="55" t="e">
        <f>VLOOKUP(Exam_16,AverageScores,b6_completeness,FALSE)</f>
        <v>#DIV/0!</v>
      </c>
      <c r="F279" s="55" t="e">
        <f>VLOOKUP(Exam_16,AverageScores,b6_completeness,FALSE)</f>
        <v>#DIV/0!</v>
      </c>
      <c r="G279" s="55" t="e">
        <f>VLOOKUP(Exam_16,AverageScores,b6_completeness,FALSE)</f>
        <v>#DIV/0!</v>
      </c>
    </row>
    <row r="280" spans="2:7" ht="13.5" customHeight="1">
      <c r="B280" s="51" t="s">
        <v>66</v>
      </c>
      <c r="C280" s="55">
        <f>VLOOKUP(Exam_16,ScoringAccuracyTable,b6_accuracy,FALSE)</f>
      </c>
      <c r="D280" s="55">
        <f>VLOOKUP(Exam_16,ScoringAccuracyTable,b6_accuracy,FALSE)</f>
      </c>
      <c r="E280" s="55">
        <f>VLOOKUP(Exam_16,ScoringAccuracyTable,b6_accuracy,FALSE)</f>
      </c>
      <c r="F280" s="55">
        <f>VLOOKUP(Exam_16,ScoringAccuracyTable,b6_accuracy,FALSE)</f>
      </c>
      <c r="G280" s="55">
        <f>VLOOKUP(Exam_16,ScoringAccuracyTable,b6_accuracy,FALSE)</f>
      </c>
    </row>
    <row r="283" spans="1:7" ht="13.5" customHeight="1">
      <c r="A283" s="131" t="s">
        <v>18</v>
      </c>
      <c r="B283" s="243" t="s">
        <v>70</v>
      </c>
      <c r="C283" s="243"/>
      <c r="D283" s="243"/>
      <c r="E283" s="243"/>
      <c r="F283" s="243"/>
      <c r="G283" s="243"/>
    </row>
    <row r="284" spans="1:7" ht="13.5" customHeight="1">
      <c r="A284" s="132">
        <f>Exam_17</f>
        <v>17</v>
      </c>
      <c r="B284" s="244"/>
      <c r="C284" s="244"/>
      <c r="D284" s="244"/>
      <c r="E284" s="244"/>
      <c r="F284" s="244"/>
      <c r="G284" s="244"/>
    </row>
    <row r="285" spans="2:7" ht="13.5" customHeight="1">
      <c r="B285" s="50" t="s">
        <v>68</v>
      </c>
      <c r="C285" s="54" t="s">
        <v>58</v>
      </c>
      <c r="D285" s="54" t="s">
        <v>59</v>
      </c>
      <c r="E285" s="54" t="s">
        <v>60</v>
      </c>
      <c r="F285" s="54" t="s">
        <v>61</v>
      </c>
      <c r="G285" s="54" t="s">
        <v>62</v>
      </c>
    </row>
    <row r="286" spans="2:7" ht="13.5" customHeight="1">
      <c r="B286" s="51" t="s">
        <v>63</v>
      </c>
      <c r="C286" s="55" t="e">
        <f>0.2*AVERAGE(VLOOKUP(Exam_17,Sum_Accuracy,9,FALSE),VLOOKUP(Exam_17,Sum_Accuracy,10,FALSE))</f>
        <v>#VALUE!</v>
      </c>
      <c r="D286" s="55" t="e">
        <f>0.2*AVERAGE(VLOOKUP(Exam_17,Sum_Accuracy,9,FALSE),VLOOKUP(Exam_17,Sum_Accuracy,10,FALSE))</f>
        <v>#VALUE!</v>
      </c>
      <c r="E286" s="55" t="e">
        <f>0.2*AVERAGE(VLOOKUP(Exam_17,Sum_Accuracy,9,FALSE),VLOOKUP(Exam_17,Sum_Accuracy,10,FALSE))</f>
        <v>#VALUE!</v>
      </c>
      <c r="F286" s="55" t="e">
        <f>0.2*AVERAGE(VLOOKUP(Exam_17,Sum_Accuracy,9,FALSE),VLOOKUP(Exam_17,Sum_Accuracy,10,FALSE))</f>
        <v>#VALUE!</v>
      </c>
      <c r="G286" s="55" t="e">
        <f>0.2*AVERAGE(VLOOKUP(Exam_17,Sum_Accuracy,9,FALSE),VLOOKUP(Exam_17,Sum_Accuracy,10,FALSE))</f>
        <v>#VALUE!</v>
      </c>
    </row>
    <row r="287" spans="2:7" ht="13.5" customHeight="1">
      <c r="B287" s="51" t="s">
        <v>69</v>
      </c>
      <c r="C287" s="55" t="e">
        <f>0.2*AVERAGE(VLOOKUP(Exam_17,Sum_Accuracy,11,FALSE),VLOOKUP(Exam_17,Sum_Accuracy,12,FALSE))</f>
        <v>#VALUE!</v>
      </c>
      <c r="D287" s="55" t="e">
        <f>0.2*AVERAGE(VLOOKUP(Exam_17,Sum_Accuracy,11,FALSE),VLOOKUP(Exam_17,Sum_Accuracy,12,FALSE))</f>
        <v>#VALUE!</v>
      </c>
      <c r="E287" s="55" t="e">
        <f>0.2*AVERAGE(VLOOKUP(Exam_17,Sum_Accuracy,11,FALSE),VLOOKUP(Exam_17,Sum_Accuracy,12,FALSE))</f>
        <v>#VALUE!</v>
      </c>
      <c r="F287" s="55" t="e">
        <f>0.2*AVERAGE(VLOOKUP(Exam_17,Sum_Accuracy,11,FALSE),VLOOKUP(Exam_17,Sum_Accuracy,12,FALSE))</f>
        <v>#VALUE!</v>
      </c>
      <c r="G287" s="55" t="e">
        <f>0.2*AVERAGE(VLOOKUP(Exam_17,Sum_Accuracy,11,FALSE),VLOOKUP(Exam_17,Sum_Accuracy,12,FALSE))</f>
        <v>#VALUE!</v>
      </c>
    </row>
    <row r="288" spans="2:7" ht="13.5" customHeight="1">
      <c r="B288" s="51" t="s">
        <v>64</v>
      </c>
      <c r="C288" s="55" t="e">
        <f>0.2*AVERAGE(VLOOKUP(Exam_17,Sum_Accuracy,13,FALSE),VLOOKUP(Exam_17,Sum_Accuracy,14,FALSE))</f>
        <v>#VALUE!</v>
      </c>
      <c r="D288" s="55" t="e">
        <f>0.2*AVERAGE(VLOOKUP(Exam_17,Sum_Accuracy,13,FALSE),VLOOKUP(Exam_17,Sum_Accuracy,14,FALSE))</f>
        <v>#VALUE!</v>
      </c>
      <c r="E288" s="55" t="e">
        <f>0.2*AVERAGE(VLOOKUP(Exam_17,Sum_Accuracy,13,FALSE),VLOOKUP(Exam_17,Sum_Accuracy,14,FALSE))</f>
        <v>#VALUE!</v>
      </c>
      <c r="F288" s="55" t="e">
        <f>0.2*AVERAGE(VLOOKUP(Exam_17,Sum_Accuracy,13,FALSE),VLOOKUP(Exam_17,Sum_Accuracy,14,FALSE))</f>
        <v>#VALUE!</v>
      </c>
      <c r="G288" s="55" t="e">
        <f>0.2*AVERAGE(VLOOKUP(Exam_17,Sum_Accuracy,13,FALSE),VLOOKUP(Exam_17,Sum_Accuracy,14,FALSE))</f>
        <v>#VALUE!</v>
      </c>
    </row>
    <row r="289" spans="2:7" ht="13.5" customHeight="1">
      <c r="B289" s="51" t="s">
        <v>65</v>
      </c>
      <c r="C289" s="55" t="e">
        <f>0.2*AVERAGE(VLOOKUP(Exam_17,Sum_Accuracy,15,FALSE),VLOOKUP(Exam_17,Sum_Accuracy,16,FALSE))</f>
        <v>#VALUE!</v>
      </c>
      <c r="D289" s="55" t="e">
        <f>0.2*AVERAGE(VLOOKUP(Exam_17,Sum_Accuracy,15,FALSE),VLOOKUP(Exam_17,Sum_Accuracy,16,FALSE))</f>
        <v>#VALUE!</v>
      </c>
      <c r="E289" s="55" t="e">
        <f>0.2*AVERAGE(VLOOKUP(Exam_17,Sum_Accuracy,15,FALSE),VLOOKUP(Exam_17,Sum_Accuracy,16,FALSE))</f>
        <v>#VALUE!</v>
      </c>
      <c r="F289" s="55" t="e">
        <f>0.2*AVERAGE(VLOOKUP(Exam_17,Sum_Accuracy,15,FALSE),VLOOKUP(Exam_17,Sum_Accuracy,16,FALSE))</f>
        <v>#VALUE!</v>
      </c>
      <c r="G289" s="55" t="e">
        <f>0.2*AVERAGE(VLOOKUP(Exam_17,Sum_Accuracy,15,FALSE),VLOOKUP(Exam_17,Sum_Accuracy,16,FALSE))</f>
        <v>#VALUE!</v>
      </c>
    </row>
    <row r="290" spans="2:7" ht="13.5" customHeight="1">
      <c r="B290" s="51" t="s">
        <v>66</v>
      </c>
      <c r="C290" s="55" t="e">
        <f>VLOOKUP(Exam_17,Sum_Accuracy,8,FALSE)/5</f>
        <v>#VALUE!</v>
      </c>
      <c r="D290" s="55" t="e">
        <f>VLOOKUP(Exam_17,Sum_Accuracy,8,FALSE)/5</f>
        <v>#VALUE!</v>
      </c>
      <c r="E290" s="55" t="e">
        <f>VLOOKUP(Exam_17,Sum_Accuracy,8,FALSE)/5</f>
        <v>#VALUE!</v>
      </c>
      <c r="F290" s="55" t="e">
        <f>VLOOKUP(Exam_17,Sum_Accuracy,8,FALSE)/5</f>
        <v>#VALUE!</v>
      </c>
      <c r="G290" s="55" t="e">
        <f>VLOOKUP(Exam_17,Sum_Accuracy,8,FALSE)/5</f>
        <v>#VALUE!</v>
      </c>
    </row>
    <row r="291" spans="2:7" ht="13.5" customHeight="1">
      <c r="B291" s="241"/>
      <c r="C291" s="241"/>
      <c r="D291" s="241"/>
      <c r="E291" s="241"/>
      <c r="F291" s="241"/>
      <c r="G291" s="241"/>
    </row>
    <row r="293" spans="2:7" ht="13.5" customHeight="1">
      <c r="B293" s="245" t="s">
        <v>67</v>
      </c>
      <c r="C293" s="245"/>
      <c r="D293" s="245"/>
      <c r="E293" s="245"/>
      <c r="F293" s="245"/>
      <c r="G293" s="245"/>
    </row>
    <row r="294" spans="2:7" ht="13.5" customHeight="1">
      <c r="B294" s="246"/>
      <c r="C294" s="246"/>
      <c r="D294" s="246"/>
      <c r="E294" s="246"/>
      <c r="F294" s="246"/>
      <c r="G294" s="246"/>
    </row>
    <row r="295" spans="2:7" ht="13.5" customHeight="1">
      <c r="B295" s="52" t="s">
        <v>71</v>
      </c>
      <c r="C295" s="242" t="str">
        <f>BeerName1</f>
        <v>Style1</v>
      </c>
      <c r="D295" s="242"/>
      <c r="E295" s="242"/>
      <c r="F295" s="242"/>
      <c r="G295" s="242"/>
    </row>
    <row r="296" spans="2:7" ht="13.5" customHeight="1">
      <c r="B296" s="241"/>
      <c r="C296" s="241"/>
      <c r="D296" s="241"/>
      <c r="E296" s="241"/>
      <c r="F296" s="241"/>
      <c r="G296" s="241"/>
    </row>
    <row r="297" spans="2:7" ht="13.5" customHeight="1">
      <c r="B297" s="50" t="s">
        <v>68</v>
      </c>
      <c r="C297" s="54" t="s">
        <v>58</v>
      </c>
      <c r="D297" s="54" t="s">
        <v>59</v>
      </c>
      <c r="E297" s="54" t="s">
        <v>60</v>
      </c>
      <c r="F297" s="54" t="s">
        <v>61</v>
      </c>
      <c r="G297" s="54" t="s">
        <v>62</v>
      </c>
    </row>
    <row r="298" spans="2:7" ht="13.5" customHeight="1">
      <c r="B298" s="51" t="s">
        <v>63</v>
      </c>
      <c r="C298" s="55" t="e">
        <f>VLOOKUP(Exam_17,AverageScores,b1_perception,FALSE)</f>
        <v>#DIV/0!</v>
      </c>
      <c r="D298" s="55" t="e">
        <f>VLOOKUP(Exam_17,AverageScores,b1_perception,FALSE)</f>
        <v>#DIV/0!</v>
      </c>
      <c r="E298" s="55" t="e">
        <f>VLOOKUP(Exam_17,AverageScores,b1_perception,FALSE)</f>
        <v>#DIV/0!</v>
      </c>
      <c r="F298" s="55" t="e">
        <f>VLOOKUP(Exam_17,AverageScores,b1_perception,FALSE)</f>
        <v>#DIV/0!</v>
      </c>
      <c r="G298" s="55" t="e">
        <f>VLOOKUP(Exam_17,AverageScores,b1_perception,FALSE)</f>
        <v>#DIV/0!</v>
      </c>
    </row>
    <row r="299" spans="2:7" ht="13.5" customHeight="1">
      <c r="B299" s="51" t="s">
        <v>69</v>
      </c>
      <c r="C299" s="55" t="e">
        <f>VLOOKUP(Exam_17,AverageScores,b1_descriptive,FALSE)</f>
        <v>#DIV/0!</v>
      </c>
      <c r="D299" s="55" t="e">
        <f>VLOOKUP(Exam_17,AverageScores,b1_descriptive,FALSE)</f>
        <v>#DIV/0!</v>
      </c>
      <c r="E299" s="55" t="e">
        <f>VLOOKUP(Exam_17,AverageScores,b1_descriptive,FALSE)</f>
        <v>#DIV/0!</v>
      </c>
      <c r="F299" s="55" t="e">
        <f>VLOOKUP(Exam_17,AverageScores,b1_descriptive,FALSE)</f>
        <v>#DIV/0!</v>
      </c>
      <c r="G299" s="55" t="e">
        <f>VLOOKUP(Exam_17,AverageScores,b1_descriptive,FALSE)</f>
        <v>#DIV/0!</v>
      </c>
    </row>
    <row r="300" spans="2:7" ht="13.5" customHeight="1">
      <c r="B300" s="51" t="s">
        <v>64</v>
      </c>
      <c r="C300" s="55" t="e">
        <f>VLOOKUP(Exam_17,AverageScores,b1_feedback,FALSE)</f>
        <v>#DIV/0!</v>
      </c>
      <c r="D300" s="55" t="e">
        <f>VLOOKUP(Exam_17,AverageScores,b1_feedback,FALSE)</f>
        <v>#DIV/0!</v>
      </c>
      <c r="E300" s="55" t="e">
        <f>VLOOKUP(Exam_17,AverageScores,b1_feedback,FALSE)</f>
        <v>#DIV/0!</v>
      </c>
      <c r="F300" s="55" t="e">
        <f>VLOOKUP(Exam_17,AverageScores,b1_feedback,FALSE)</f>
        <v>#DIV/0!</v>
      </c>
      <c r="G300" s="55" t="e">
        <f>VLOOKUP(Exam_17,AverageScores,b1_feedback,FALSE)</f>
        <v>#DIV/0!</v>
      </c>
    </row>
    <row r="301" spans="2:7" ht="13.5" customHeight="1">
      <c r="B301" s="51" t="s">
        <v>65</v>
      </c>
      <c r="C301" s="55" t="e">
        <f>VLOOKUP(Exam_17,AverageScores,b1_completeness,FALSE)</f>
        <v>#DIV/0!</v>
      </c>
      <c r="D301" s="55" t="e">
        <f>VLOOKUP(Exam_17,AverageScores,b1_completeness,FALSE)</f>
        <v>#DIV/0!</v>
      </c>
      <c r="E301" s="55" t="e">
        <f>VLOOKUP(Exam_17,AverageScores,b1_completeness,FALSE)</f>
        <v>#DIV/0!</v>
      </c>
      <c r="F301" s="55" t="e">
        <f>VLOOKUP(Exam_17,AverageScores,b1_completeness,FALSE)</f>
        <v>#DIV/0!</v>
      </c>
      <c r="G301" s="55" t="e">
        <f>VLOOKUP(Exam_17,AverageScores,b1_completeness,FALSE)</f>
        <v>#DIV/0!</v>
      </c>
    </row>
    <row r="302" spans="2:7" ht="13.5" customHeight="1">
      <c r="B302" s="51" t="s">
        <v>66</v>
      </c>
      <c r="C302" s="55">
        <f>VLOOKUP(Exam_17,ScoringAccuracyTable,b1_accuracy,FALSE)</f>
      </c>
      <c r="D302" s="55">
        <f>VLOOKUP(Exam_17,ScoringAccuracyTable,b1_accuracy,FALSE)</f>
      </c>
      <c r="E302" s="55">
        <f>VLOOKUP(Exam_17,ScoringAccuracyTable,b1_accuracy,FALSE)</f>
      </c>
      <c r="F302" s="55">
        <f>VLOOKUP(Exam_17,ScoringAccuracyTable,b1_accuracy,FALSE)</f>
      </c>
      <c r="G302" s="55">
        <f>VLOOKUP(Exam_17,ScoringAccuracyTable,b1_accuracy,FALSE)</f>
      </c>
    </row>
    <row r="303" spans="2:7" ht="13.5" customHeight="1">
      <c r="B303" s="241"/>
      <c r="C303" s="241"/>
      <c r="D303" s="241"/>
      <c r="E303" s="241"/>
      <c r="F303" s="241"/>
      <c r="G303" s="241"/>
    </row>
    <row r="304" spans="2:7" ht="13.5" customHeight="1">
      <c r="B304" s="52" t="s">
        <v>72</v>
      </c>
      <c r="C304" s="242" t="str">
        <f>BeerName2</f>
        <v>Style2</v>
      </c>
      <c r="D304" s="242"/>
      <c r="E304" s="242"/>
      <c r="F304" s="242"/>
      <c r="G304" s="242"/>
    </row>
    <row r="305" spans="2:7" ht="13.5" customHeight="1">
      <c r="B305" s="247"/>
      <c r="C305" s="247"/>
      <c r="D305" s="247"/>
      <c r="E305" s="247"/>
      <c r="F305" s="247"/>
      <c r="G305" s="247"/>
    </row>
    <row r="306" spans="2:7" ht="13.5" customHeight="1">
      <c r="B306" s="50" t="s">
        <v>68</v>
      </c>
      <c r="C306" s="56" t="s">
        <v>58</v>
      </c>
      <c r="D306" s="56" t="s">
        <v>59</v>
      </c>
      <c r="E306" s="56" t="s">
        <v>60</v>
      </c>
      <c r="F306" s="56" t="s">
        <v>61</v>
      </c>
      <c r="G306" s="56" t="s">
        <v>62</v>
      </c>
    </row>
    <row r="307" spans="2:7" ht="13.5" customHeight="1">
      <c r="B307" s="51" t="s">
        <v>63</v>
      </c>
      <c r="C307" s="55" t="e">
        <f>VLOOKUP(Exam_17,AverageScores,b2_perceptive,FALSE)</f>
        <v>#DIV/0!</v>
      </c>
      <c r="D307" s="55" t="e">
        <f>VLOOKUP(Exam_17,AverageScores,b2_perceptive,FALSE)</f>
        <v>#DIV/0!</v>
      </c>
      <c r="E307" s="55" t="e">
        <f>VLOOKUP(Exam_17,AverageScores,b2_perceptive,FALSE)</f>
        <v>#DIV/0!</v>
      </c>
      <c r="F307" s="55" t="e">
        <f>VLOOKUP(Exam_17,AverageScores,b2_perceptive,FALSE)</f>
        <v>#DIV/0!</v>
      </c>
      <c r="G307" s="55" t="e">
        <f>VLOOKUP(Exam_17,AverageScores,b2_perceptive,FALSE)</f>
        <v>#DIV/0!</v>
      </c>
    </row>
    <row r="308" spans="2:7" ht="13.5" customHeight="1">
      <c r="B308" s="51" t="s">
        <v>69</v>
      </c>
      <c r="C308" s="55" t="e">
        <f>VLOOKUP(Exam_17,AverageScores,b2_descriptive,FALSE)</f>
        <v>#DIV/0!</v>
      </c>
      <c r="D308" s="55" t="e">
        <f>VLOOKUP(Exam_17,AverageScores,b2_descriptive,FALSE)</f>
        <v>#DIV/0!</v>
      </c>
      <c r="E308" s="55" t="e">
        <f>VLOOKUP(Exam_17,AverageScores,b2_descriptive,FALSE)</f>
        <v>#DIV/0!</v>
      </c>
      <c r="F308" s="55" t="e">
        <f>VLOOKUP(Exam_17,AverageScores,b2_descriptive,FALSE)</f>
        <v>#DIV/0!</v>
      </c>
      <c r="G308" s="55" t="e">
        <f>VLOOKUP(Exam_17,AverageScores,b2_descriptive,FALSE)</f>
        <v>#DIV/0!</v>
      </c>
    </row>
    <row r="309" spans="2:7" ht="13.5" customHeight="1">
      <c r="B309" s="51" t="s">
        <v>64</v>
      </c>
      <c r="C309" s="55" t="e">
        <f>VLOOKUP(Exam_17,AverageScores,b2_feedback,FALSE)</f>
        <v>#DIV/0!</v>
      </c>
      <c r="D309" s="55" t="e">
        <f>VLOOKUP(Exam_17,AverageScores,b2_feedback,FALSE)</f>
        <v>#DIV/0!</v>
      </c>
      <c r="E309" s="55" t="e">
        <f>VLOOKUP(Exam_17,AverageScores,b2_feedback,FALSE)</f>
        <v>#DIV/0!</v>
      </c>
      <c r="F309" s="55" t="e">
        <f>VLOOKUP(Exam_17,AverageScores,b2_feedback,FALSE)</f>
        <v>#DIV/0!</v>
      </c>
      <c r="G309" s="55" t="e">
        <f>VLOOKUP(Exam_17,AverageScores,b2_feedback,FALSE)</f>
        <v>#DIV/0!</v>
      </c>
    </row>
    <row r="310" spans="2:7" ht="13.5" customHeight="1">
      <c r="B310" s="51" t="s">
        <v>65</v>
      </c>
      <c r="C310" s="55" t="e">
        <f>VLOOKUP(Exam_17,AverageScores,b2_completeness,FALSE)</f>
        <v>#DIV/0!</v>
      </c>
      <c r="D310" s="55" t="e">
        <f>VLOOKUP(Exam_17,AverageScores,b2_completeness,FALSE)</f>
        <v>#DIV/0!</v>
      </c>
      <c r="E310" s="55" t="e">
        <f>VLOOKUP(Exam_17,AverageScores,b2_completeness,FALSE)</f>
        <v>#DIV/0!</v>
      </c>
      <c r="F310" s="55" t="e">
        <f>VLOOKUP(Exam_17,AverageScores,b2_completeness,FALSE)</f>
        <v>#DIV/0!</v>
      </c>
      <c r="G310" s="55" t="e">
        <f>VLOOKUP(Exam_17,AverageScores,b2_completeness,FALSE)</f>
        <v>#DIV/0!</v>
      </c>
    </row>
    <row r="311" spans="2:7" ht="13.5" customHeight="1">
      <c r="B311" s="51" t="s">
        <v>66</v>
      </c>
      <c r="C311" s="55">
        <f>VLOOKUP(Exam_17,ScoringAccuracyTable,b2_accuracy,FALSE)</f>
      </c>
      <c r="D311" s="55">
        <f>VLOOKUP(Exam_17,ScoringAccuracyTable,b2_accuracy,FALSE)</f>
      </c>
      <c r="E311" s="55">
        <f>VLOOKUP(Exam_17,ScoringAccuracyTable,b2_accuracy,FALSE)</f>
      </c>
      <c r="F311" s="55">
        <f>VLOOKUP(Exam_17,ScoringAccuracyTable,b2_accuracy,FALSE)</f>
      </c>
      <c r="G311" s="55">
        <f>VLOOKUP(Exam_17,ScoringAccuracyTable,b2_accuracy,FALSE)</f>
      </c>
    </row>
    <row r="312" spans="2:7" ht="13.5" customHeight="1">
      <c r="B312" s="241"/>
      <c r="C312" s="241"/>
      <c r="D312" s="241"/>
      <c r="E312" s="241"/>
      <c r="F312" s="241"/>
      <c r="G312" s="241"/>
    </row>
    <row r="313" spans="2:7" ht="13.5" customHeight="1">
      <c r="B313" s="52" t="s">
        <v>76</v>
      </c>
      <c r="C313" s="242" t="str">
        <f>BeerName3</f>
        <v>Style3</v>
      </c>
      <c r="D313" s="242"/>
      <c r="E313" s="242"/>
      <c r="F313" s="242"/>
      <c r="G313" s="242"/>
    </row>
    <row r="314" spans="2:7" ht="13.5" customHeight="1">
      <c r="B314" s="247"/>
      <c r="C314" s="247"/>
      <c r="D314" s="247"/>
      <c r="E314" s="247"/>
      <c r="F314" s="247"/>
      <c r="G314" s="247"/>
    </row>
    <row r="315" spans="2:7" ht="13.5" customHeight="1">
      <c r="B315" s="50" t="s">
        <v>68</v>
      </c>
      <c r="C315" s="54" t="s">
        <v>58</v>
      </c>
      <c r="D315" s="54" t="s">
        <v>59</v>
      </c>
      <c r="E315" s="54" t="s">
        <v>60</v>
      </c>
      <c r="F315" s="54" t="s">
        <v>61</v>
      </c>
      <c r="G315" s="54" t="s">
        <v>62</v>
      </c>
    </row>
    <row r="316" spans="2:7" ht="13.5" customHeight="1">
      <c r="B316" s="51" t="s">
        <v>63</v>
      </c>
      <c r="C316" s="55" t="e">
        <f>VLOOKUP(Exam_17,AverageScores,b3_perception,FALSE)</f>
        <v>#DIV/0!</v>
      </c>
      <c r="D316" s="55" t="e">
        <f>VLOOKUP(Exam_17,AverageScores,b3_perception,FALSE)</f>
        <v>#DIV/0!</v>
      </c>
      <c r="E316" s="55" t="e">
        <f>VLOOKUP(Exam_17,AverageScores,b3_perception,FALSE)</f>
        <v>#DIV/0!</v>
      </c>
      <c r="F316" s="55" t="e">
        <f>VLOOKUP(Exam_17,AverageScores,b3_perception,FALSE)</f>
        <v>#DIV/0!</v>
      </c>
      <c r="G316" s="55" t="e">
        <f>VLOOKUP(Exam_17,AverageScores,b3_perception,FALSE)</f>
        <v>#DIV/0!</v>
      </c>
    </row>
    <row r="317" spans="2:7" ht="13.5" customHeight="1">
      <c r="B317" s="51" t="s">
        <v>69</v>
      </c>
      <c r="C317" s="55" t="e">
        <f>VLOOKUP(Exam_17,AverageScores,b3_descriptive,FALSE)</f>
        <v>#DIV/0!</v>
      </c>
      <c r="D317" s="55" t="e">
        <f>VLOOKUP(Exam_17,AverageScores,b3_descriptive,FALSE)</f>
        <v>#DIV/0!</v>
      </c>
      <c r="E317" s="55" t="e">
        <f>VLOOKUP(Exam_17,AverageScores,b3_descriptive,FALSE)</f>
        <v>#DIV/0!</v>
      </c>
      <c r="F317" s="55" t="e">
        <f>VLOOKUP(Exam_17,AverageScores,b3_descriptive,FALSE)</f>
        <v>#DIV/0!</v>
      </c>
      <c r="G317" s="55" t="e">
        <f>VLOOKUP(Exam_17,AverageScores,b3_descriptive,FALSE)</f>
        <v>#DIV/0!</v>
      </c>
    </row>
    <row r="318" spans="2:7" ht="13.5" customHeight="1">
      <c r="B318" s="51" t="s">
        <v>64</v>
      </c>
      <c r="C318" s="55" t="e">
        <f>VLOOKUP(Exam_17,AverageScores,b3_feedback,FALSE)</f>
        <v>#DIV/0!</v>
      </c>
      <c r="D318" s="55" t="e">
        <f>VLOOKUP(Exam_17,AverageScores,b3_feedback,FALSE)</f>
        <v>#DIV/0!</v>
      </c>
      <c r="E318" s="55" t="e">
        <f>VLOOKUP(Exam_17,AverageScores,b3_feedback,FALSE)</f>
        <v>#DIV/0!</v>
      </c>
      <c r="F318" s="55" t="e">
        <f>VLOOKUP(Exam_17,AverageScores,b3_feedback,FALSE)</f>
        <v>#DIV/0!</v>
      </c>
      <c r="G318" s="55" t="e">
        <f>VLOOKUP(Exam_17,AverageScores,b3_feedback,FALSE)</f>
        <v>#DIV/0!</v>
      </c>
    </row>
    <row r="319" spans="2:7" ht="13.5" customHeight="1">
      <c r="B319" s="51" t="s">
        <v>65</v>
      </c>
      <c r="C319" s="55" t="e">
        <f>VLOOKUP(Exam_17,AverageScores,b3_completeness,FALSE)</f>
        <v>#DIV/0!</v>
      </c>
      <c r="D319" s="55" t="e">
        <f>VLOOKUP(Exam_17,AverageScores,b3_completeness,FALSE)</f>
        <v>#DIV/0!</v>
      </c>
      <c r="E319" s="55" t="e">
        <f>VLOOKUP(Exam_17,AverageScores,b3_completeness,FALSE)</f>
        <v>#DIV/0!</v>
      </c>
      <c r="F319" s="55" t="e">
        <f>VLOOKUP(Exam_17,AverageScores,b3_completeness,FALSE)</f>
        <v>#DIV/0!</v>
      </c>
      <c r="G319" s="55" t="e">
        <f>VLOOKUP(Exam_17,AverageScores,b3_completeness,FALSE)</f>
        <v>#DIV/0!</v>
      </c>
    </row>
    <row r="320" spans="2:7" ht="13.5" customHeight="1">
      <c r="B320" s="51" t="s">
        <v>66</v>
      </c>
      <c r="C320" s="55">
        <f>VLOOKUP(Exam_17,ScoringAccuracyTable,b3_accuracy,FALSE)</f>
      </c>
      <c r="D320" s="55">
        <f>VLOOKUP(Exam_17,ScoringAccuracyTable,b3_accuracy,FALSE)</f>
      </c>
      <c r="E320" s="55">
        <f>VLOOKUP(Exam_17,ScoringAccuracyTable,b3_accuracy,FALSE)</f>
      </c>
      <c r="F320" s="55">
        <f>VLOOKUP(Exam_17,ScoringAccuracyTable,b3_accuracy,FALSE)</f>
      </c>
      <c r="G320" s="55">
        <f>VLOOKUP(Exam_17,ScoringAccuracyTable,b3_accuracy,FALSE)</f>
      </c>
    </row>
    <row r="321" spans="2:7" ht="13.5" customHeight="1">
      <c r="B321" s="241"/>
      <c r="C321" s="241"/>
      <c r="D321" s="241"/>
      <c r="E321" s="241"/>
      <c r="F321" s="241"/>
      <c r="G321" s="241"/>
    </row>
    <row r="322" spans="2:7" ht="13.5" customHeight="1">
      <c r="B322" s="52" t="s">
        <v>75</v>
      </c>
      <c r="C322" s="242" t="str">
        <f>BeerName4</f>
        <v>Style4</v>
      </c>
      <c r="D322" s="242"/>
      <c r="E322" s="242"/>
      <c r="F322" s="242"/>
      <c r="G322" s="242"/>
    </row>
    <row r="323" spans="2:7" ht="13.5" customHeight="1">
      <c r="B323" s="241"/>
      <c r="C323" s="241"/>
      <c r="D323" s="241"/>
      <c r="E323" s="241"/>
      <c r="F323" s="241"/>
      <c r="G323" s="241"/>
    </row>
    <row r="324" spans="2:7" ht="13.5" customHeight="1">
      <c r="B324" s="50" t="s">
        <v>68</v>
      </c>
      <c r="C324" s="54" t="s">
        <v>58</v>
      </c>
      <c r="D324" s="54" t="s">
        <v>59</v>
      </c>
      <c r="E324" s="54" t="s">
        <v>60</v>
      </c>
      <c r="F324" s="54" t="s">
        <v>61</v>
      </c>
      <c r="G324" s="54" t="s">
        <v>62</v>
      </c>
    </row>
    <row r="325" spans="2:7" ht="13.5" customHeight="1">
      <c r="B325" s="51" t="s">
        <v>63</v>
      </c>
      <c r="C325" s="55" t="e">
        <f>VLOOKUP(Exam_17,AverageScores,b4_perception,FALSE)</f>
        <v>#DIV/0!</v>
      </c>
      <c r="D325" s="55" t="e">
        <f>VLOOKUP(Exam_17,AverageScores,b4_perception,FALSE)</f>
        <v>#DIV/0!</v>
      </c>
      <c r="E325" s="55" t="e">
        <f>VLOOKUP(Exam_17,AverageScores,b4_perception,FALSE)</f>
        <v>#DIV/0!</v>
      </c>
      <c r="F325" s="55" t="e">
        <f>VLOOKUP(Exam_17,AverageScores,b4_perception,FALSE)</f>
        <v>#DIV/0!</v>
      </c>
      <c r="G325" s="55" t="e">
        <f>VLOOKUP(Exam_17,AverageScores,b4_perception,FALSE)</f>
        <v>#DIV/0!</v>
      </c>
    </row>
    <row r="326" spans="2:7" ht="13.5" customHeight="1">
      <c r="B326" s="51" t="s">
        <v>69</v>
      </c>
      <c r="C326" s="55" t="e">
        <f>VLOOKUP(Exam_17,AverageScores,b4_descriptive,FALSE)</f>
        <v>#DIV/0!</v>
      </c>
      <c r="D326" s="55" t="e">
        <f>VLOOKUP(Exam_17,AverageScores,b4_descriptive,FALSE)</f>
        <v>#DIV/0!</v>
      </c>
      <c r="E326" s="55" t="e">
        <f>VLOOKUP(Exam_17,AverageScores,b4_descriptive,FALSE)</f>
        <v>#DIV/0!</v>
      </c>
      <c r="F326" s="55" t="e">
        <f>VLOOKUP(Exam_17,AverageScores,b4_descriptive,FALSE)</f>
        <v>#DIV/0!</v>
      </c>
      <c r="G326" s="55" t="e">
        <f>VLOOKUP(Exam_17,AverageScores,b4_descriptive,FALSE)</f>
        <v>#DIV/0!</v>
      </c>
    </row>
    <row r="327" spans="2:7" ht="13.5" customHeight="1">
      <c r="B327" s="51" t="s">
        <v>64</v>
      </c>
      <c r="C327" s="55" t="e">
        <f>VLOOKUP(Exam_17,AverageScores,b4_feedback,FALSE)</f>
        <v>#DIV/0!</v>
      </c>
      <c r="D327" s="55" t="e">
        <f>VLOOKUP(Exam_17,AverageScores,b4_feedback,FALSE)</f>
        <v>#DIV/0!</v>
      </c>
      <c r="E327" s="55" t="e">
        <f>VLOOKUP(Exam_17,AverageScores,b4_feedback,FALSE)</f>
        <v>#DIV/0!</v>
      </c>
      <c r="F327" s="55" t="e">
        <f>VLOOKUP(Exam_17,AverageScores,b4_feedback,FALSE)</f>
        <v>#DIV/0!</v>
      </c>
      <c r="G327" s="55" t="e">
        <f>VLOOKUP(Exam_17,AverageScores,b4_feedback,FALSE)</f>
        <v>#DIV/0!</v>
      </c>
    </row>
    <row r="328" spans="2:7" ht="13.5" customHeight="1">
      <c r="B328" s="51" t="s">
        <v>65</v>
      </c>
      <c r="C328" s="55" t="e">
        <f>VLOOKUP(Exam_17,AverageScores,b4_completeness,FALSE)</f>
        <v>#DIV/0!</v>
      </c>
      <c r="D328" s="55" t="e">
        <f>VLOOKUP(Exam_17,AverageScores,b4_completeness,FALSE)</f>
        <v>#DIV/0!</v>
      </c>
      <c r="E328" s="55" t="e">
        <f>VLOOKUP(Exam_17,AverageScores,b4_completeness,FALSE)</f>
        <v>#DIV/0!</v>
      </c>
      <c r="F328" s="55" t="e">
        <f>VLOOKUP(Exam_17,AverageScores,b4_completeness,FALSE)</f>
        <v>#DIV/0!</v>
      </c>
      <c r="G328" s="55" t="e">
        <f>VLOOKUP(Exam_17,AverageScores,b4_completeness,FALSE)</f>
        <v>#DIV/0!</v>
      </c>
    </row>
    <row r="329" spans="2:7" ht="13.5" customHeight="1">
      <c r="B329" s="51" t="s">
        <v>66</v>
      </c>
      <c r="C329" s="55">
        <f>VLOOKUP(Exam_17,ScoringAccuracyTable,b4_accuracy,FALSE)</f>
      </c>
      <c r="D329" s="55">
        <f>VLOOKUP(Exam_17,ScoringAccuracyTable,b4_accuracy,FALSE)</f>
      </c>
      <c r="E329" s="55">
        <f>VLOOKUP(Exam_17,ScoringAccuracyTable,b4_accuracy,FALSE)</f>
      </c>
      <c r="F329" s="55">
        <f>VLOOKUP(Exam_17,ScoringAccuracyTable,b4_accuracy,FALSE)</f>
      </c>
      <c r="G329" s="55">
        <f>VLOOKUP(Exam_17,ScoringAccuracyTable,b4_accuracy,FALSE)</f>
      </c>
    </row>
    <row r="330" spans="2:7" ht="13.5" customHeight="1">
      <c r="B330" s="241"/>
      <c r="C330" s="241"/>
      <c r="D330" s="241"/>
      <c r="E330" s="241"/>
      <c r="F330" s="241"/>
      <c r="G330" s="241"/>
    </row>
    <row r="335" spans="2:7" ht="13.5" customHeight="1">
      <c r="B335" s="52" t="s">
        <v>74</v>
      </c>
      <c r="C335" s="242" t="str">
        <f>BeerName5</f>
        <v>Style5</v>
      </c>
      <c r="D335" s="242"/>
      <c r="E335" s="242"/>
      <c r="F335" s="242"/>
      <c r="G335" s="242"/>
    </row>
    <row r="336" spans="2:7" ht="13.5" customHeight="1">
      <c r="B336" s="241"/>
      <c r="C336" s="241"/>
      <c r="D336" s="241"/>
      <c r="E336" s="241"/>
      <c r="F336" s="241"/>
      <c r="G336" s="241"/>
    </row>
    <row r="337" spans="2:7" ht="13.5" customHeight="1">
      <c r="B337" s="50" t="s">
        <v>68</v>
      </c>
      <c r="C337" s="54" t="s">
        <v>58</v>
      </c>
      <c r="D337" s="54" t="s">
        <v>59</v>
      </c>
      <c r="E337" s="54" t="s">
        <v>60</v>
      </c>
      <c r="F337" s="54" t="s">
        <v>61</v>
      </c>
      <c r="G337" s="54" t="s">
        <v>62</v>
      </c>
    </row>
    <row r="338" spans="2:7" ht="13.5" customHeight="1">
      <c r="B338" s="51" t="s">
        <v>63</v>
      </c>
      <c r="C338" s="55" t="e">
        <f>VLOOKUP(Exam_17,AverageScores,b5_perception,FALSE)</f>
        <v>#DIV/0!</v>
      </c>
      <c r="D338" s="55" t="e">
        <f>VLOOKUP(Exam_17,AverageScores,b5_perception,FALSE)</f>
        <v>#DIV/0!</v>
      </c>
      <c r="E338" s="55" t="e">
        <f>VLOOKUP(Exam_17,AverageScores,b5_perception,FALSE)</f>
        <v>#DIV/0!</v>
      </c>
      <c r="F338" s="55" t="e">
        <f>VLOOKUP(Exam_17,AverageScores,b5_perception,FALSE)</f>
        <v>#DIV/0!</v>
      </c>
      <c r="G338" s="55" t="e">
        <f>VLOOKUP(Exam_17,AverageScores,b5_perception,FALSE)</f>
        <v>#DIV/0!</v>
      </c>
    </row>
    <row r="339" spans="2:7" ht="13.5" customHeight="1">
      <c r="B339" s="51" t="s">
        <v>69</v>
      </c>
      <c r="C339" s="55" t="e">
        <f>VLOOKUP(Exam_17,AverageScores,b5_descriptive,FALSE)</f>
        <v>#DIV/0!</v>
      </c>
      <c r="D339" s="55" t="e">
        <f>VLOOKUP(Exam_17,AverageScores,b5_descriptive,FALSE)</f>
        <v>#DIV/0!</v>
      </c>
      <c r="E339" s="55" t="e">
        <f>VLOOKUP(Exam_17,AverageScores,b5_descriptive,FALSE)</f>
        <v>#DIV/0!</v>
      </c>
      <c r="F339" s="55" t="e">
        <f>VLOOKUP(Exam_17,AverageScores,b5_descriptive,FALSE)</f>
        <v>#DIV/0!</v>
      </c>
      <c r="G339" s="55" t="e">
        <f>VLOOKUP(Exam_17,AverageScores,b5_descriptive,FALSE)</f>
        <v>#DIV/0!</v>
      </c>
    </row>
    <row r="340" spans="2:7" ht="13.5" customHeight="1">
      <c r="B340" s="51" t="s">
        <v>64</v>
      </c>
      <c r="C340" s="55" t="e">
        <f>VLOOKUP(Exam_17,AverageScores,b5_feedback,FALSE)</f>
        <v>#DIV/0!</v>
      </c>
      <c r="D340" s="55" t="e">
        <f>VLOOKUP(Exam_17,AverageScores,b5_feedback,FALSE)</f>
        <v>#DIV/0!</v>
      </c>
      <c r="E340" s="55" t="e">
        <f>VLOOKUP(Exam_17,AverageScores,b5_feedback,FALSE)</f>
        <v>#DIV/0!</v>
      </c>
      <c r="F340" s="55" t="e">
        <f>VLOOKUP(Exam_17,AverageScores,b5_feedback,FALSE)</f>
        <v>#DIV/0!</v>
      </c>
      <c r="G340" s="55" t="e">
        <f>VLOOKUP(Exam_17,AverageScores,b5_feedback,FALSE)</f>
        <v>#DIV/0!</v>
      </c>
    </row>
    <row r="341" spans="2:7" ht="13.5" customHeight="1">
      <c r="B341" s="51" t="s">
        <v>65</v>
      </c>
      <c r="C341" s="55" t="e">
        <f>VLOOKUP(Exam_17,AverageScores,b5_completeness,FALSE)</f>
        <v>#DIV/0!</v>
      </c>
      <c r="D341" s="55" t="e">
        <f>VLOOKUP(Exam_17,AverageScores,b5_completeness,FALSE)</f>
        <v>#DIV/0!</v>
      </c>
      <c r="E341" s="55" t="e">
        <f>VLOOKUP(Exam_17,AverageScores,b5_completeness,FALSE)</f>
        <v>#DIV/0!</v>
      </c>
      <c r="F341" s="55" t="e">
        <f>VLOOKUP(Exam_17,AverageScores,b5_completeness,FALSE)</f>
        <v>#DIV/0!</v>
      </c>
      <c r="G341" s="55" t="e">
        <f>VLOOKUP(Exam_17,AverageScores,b5_completeness,FALSE)</f>
        <v>#DIV/0!</v>
      </c>
    </row>
    <row r="342" spans="2:7" ht="13.5" customHeight="1">
      <c r="B342" s="51" t="s">
        <v>66</v>
      </c>
      <c r="C342" s="55">
        <f>VLOOKUP(Exam_17,ScoringAccuracyTable,b5_accuracy,FALSE)</f>
      </c>
      <c r="D342" s="55">
        <f>VLOOKUP(Exam_17,ScoringAccuracyTable,b5_accuracy,FALSE)</f>
      </c>
      <c r="E342" s="55">
        <f>VLOOKUP(Exam_17,ScoringAccuracyTable,b5_accuracy,FALSE)</f>
      </c>
      <c r="F342" s="55">
        <f>VLOOKUP(Exam_17,ScoringAccuracyTable,b5_accuracy,FALSE)</f>
      </c>
      <c r="G342" s="55">
        <f>VLOOKUP(Exam_17,ScoringAccuracyTable,b5_accuracy,FALSE)</f>
      </c>
    </row>
    <row r="343" spans="2:7" ht="13.5" customHeight="1">
      <c r="B343" s="241"/>
      <c r="C343" s="241"/>
      <c r="D343" s="241"/>
      <c r="E343" s="241"/>
      <c r="F343" s="241"/>
      <c r="G343" s="241"/>
    </row>
    <row r="344" spans="2:7" ht="13.5" customHeight="1">
      <c r="B344" s="52" t="s">
        <v>73</v>
      </c>
      <c r="C344" s="242" t="str">
        <f>BeerName6</f>
        <v>Style6</v>
      </c>
      <c r="D344" s="242"/>
      <c r="E344" s="242"/>
      <c r="F344" s="242"/>
      <c r="G344" s="242"/>
    </row>
    <row r="345" spans="2:7" ht="13.5" customHeight="1">
      <c r="B345" s="241"/>
      <c r="C345" s="241"/>
      <c r="D345" s="241"/>
      <c r="E345" s="241"/>
      <c r="F345" s="241"/>
      <c r="G345" s="241"/>
    </row>
    <row r="346" spans="2:7" ht="13.5" customHeight="1">
      <c r="B346" s="50" t="s">
        <v>68</v>
      </c>
      <c r="C346" s="54" t="s">
        <v>58</v>
      </c>
      <c r="D346" s="54" t="s">
        <v>59</v>
      </c>
      <c r="E346" s="54" t="s">
        <v>60</v>
      </c>
      <c r="F346" s="54" t="s">
        <v>61</v>
      </c>
      <c r="G346" s="54" t="s">
        <v>62</v>
      </c>
    </row>
    <row r="347" spans="2:7" ht="13.5" customHeight="1">
      <c r="B347" s="51" t="s">
        <v>63</v>
      </c>
      <c r="C347" s="55" t="e">
        <f>VLOOKUP(Exam_17,AverageScores,b6_perception,FALSE)</f>
        <v>#DIV/0!</v>
      </c>
      <c r="D347" s="55" t="e">
        <f>VLOOKUP(Exam_17,AverageScores,b6_perception,FALSE)</f>
        <v>#DIV/0!</v>
      </c>
      <c r="E347" s="55" t="e">
        <f>VLOOKUP(Exam_17,AverageScores,b6_perception,FALSE)</f>
        <v>#DIV/0!</v>
      </c>
      <c r="F347" s="55" t="e">
        <f>VLOOKUP(Exam_17,AverageScores,b6_perception,FALSE)</f>
        <v>#DIV/0!</v>
      </c>
      <c r="G347" s="55" t="e">
        <f>VLOOKUP(Exam_17,AverageScores,b6_perception,FALSE)</f>
        <v>#DIV/0!</v>
      </c>
    </row>
    <row r="348" spans="2:7" ht="13.5" customHeight="1">
      <c r="B348" s="51" t="s">
        <v>69</v>
      </c>
      <c r="C348" s="55" t="e">
        <f>VLOOKUP(Exam_17,AverageScores,b6_descriptive,FALSE)</f>
        <v>#DIV/0!</v>
      </c>
      <c r="D348" s="55" t="e">
        <f>VLOOKUP(Exam_17,AverageScores,b6_descriptive,FALSE)</f>
        <v>#DIV/0!</v>
      </c>
      <c r="E348" s="55" t="e">
        <f>VLOOKUP(Exam_17,AverageScores,b6_descriptive,FALSE)</f>
        <v>#DIV/0!</v>
      </c>
      <c r="F348" s="55" t="e">
        <f>VLOOKUP(Exam_17,AverageScores,b6_descriptive,FALSE)</f>
        <v>#DIV/0!</v>
      </c>
      <c r="G348" s="55" t="e">
        <f>VLOOKUP(Exam_17,AverageScores,b6_descriptive,FALSE)</f>
        <v>#DIV/0!</v>
      </c>
    </row>
    <row r="349" spans="2:7" ht="13.5" customHeight="1">
      <c r="B349" s="51" t="s">
        <v>64</v>
      </c>
      <c r="C349" s="55" t="e">
        <f>VLOOKUP(Exam_17,AverageScores,b6_feedback,FALSE)</f>
        <v>#DIV/0!</v>
      </c>
      <c r="D349" s="55" t="e">
        <f>VLOOKUP(Exam_17,AverageScores,b6_feedback,FALSE)</f>
        <v>#DIV/0!</v>
      </c>
      <c r="E349" s="55" t="e">
        <f>VLOOKUP(Exam_17,AverageScores,b6_feedback,FALSE)</f>
        <v>#DIV/0!</v>
      </c>
      <c r="F349" s="55" t="e">
        <f>VLOOKUP(Exam_17,AverageScores,b6_feedback,FALSE)</f>
        <v>#DIV/0!</v>
      </c>
      <c r="G349" s="55" t="e">
        <f>VLOOKUP(Exam_17,AverageScores,b6_feedback,FALSE)</f>
        <v>#DIV/0!</v>
      </c>
    </row>
    <row r="350" spans="2:7" ht="13.5" customHeight="1">
      <c r="B350" s="51" t="s">
        <v>65</v>
      </c>
      <c r="C350" s="55" t="e">
        <f>VLOOKUP(Exam_17,AverageScores,b6_completeness,FALSE)</f>
        <v>#DIV/0!</v>
      </c>
      <c r="D350" s="55" t="e">
        <f>VLOOKUP(Exam_17,AverageScores,b6_completeness,FALSE)</f>
        <v>#DIV/0!</v>
      </c>
      <c r="E350" s="55" t="e">
        <f>VLOOKUP(Exam_17,AverageScores,b6_completeness,FALSE)</f>
        <v>#DIV/0!</v>
      </c>
      <c r="F350" s="55" t="e">
        <f>VLOOKUP(Exam_17,AverageScores,b6_completeness,FALSE)</f>
        <v>#DIV/0!</v>
      </c>
      <c r="G350" s="55" t="e">
        <f>VLOOKUP(Exam_17,AverageScores,b6_completeness,FALSE)</f>
        <v>#DIV/0!</v>
      </c>
    </row>
    <row r="351" spans="2:7" ht="13.5" customHeight="1">
      <c r="B351" s="51" t="s">
        <v>66</v>
      </c>
      <c r="C351" s="55">
        <f>VLOOKUP(Exam_17,ScoringAccuracyTable,b6_accuracy,FALSE)</f>
      </c>
      <c r="D351" s="55">
        <f>VLOOKUP(Exam_17,ScoringAccuracyTable,b6_accuracy,FALSE)</f>
      </c>
      <c r="E351" s="55">
        <f>VLOOKUP(Exam_17,ScoringAccuracyTable,b6_accuracy,FALSE)</f>
      </c>
      <c r="F351" s="55">
        <f>VLOOKUP(Exam_17,ScoringAccuracyTable,b6_accuracy,FALSE)</f>
      </c>
      <c r="G351" s="55">
        <f>VLOOKUP(Exam_17,ScoringAccuracyTable,b6_accuracy,FALSE)</f>
      </c>
    </row>
    <row r="354" spans="1:7" ht="13.5" customHeight="1">
      <c r="A354" s="131" t="s">
        <v>18</v>
      </c>
      <c r="B354" s="243" t="s">
        <v>70</v>
      </c>
      <c r="C354" s="243"/>
      <c r="D354" s="243"/>
      <c r="E354" s="243"/>
      <c r="F354" s="243"/>
      <c r="G354" s="243"/>
    </row>
    <row r="355" spans="1:7" ht="13.5" customHeight="1">
      <c r="A355" s="132">
        <f>Exam_18</f>
        <v>18</v>
      </c>
      <c r="B355" s="244"/>
      <c r="C355" s="244"/>
      <c r="D355" s="244"/>
      <c r="E355" s="244"/>
      <c r="F355" s="244"/>
      <c r="G355" s="244"/>
    </row>
    <row r="356" spans="2:7" ht="13.5" customHeight="1">
      <c r="B356" s="50" t="s">
        <v>68</v>
      </c>
      <c r="C356" s="54" t="s">
        <v>58</v>
      </c>
      <c r="D356" s="54" t="s">
        <v>59</v>
      </c>
      <c r="E356" s="54" t="s">
        <v>60</v>
      </c>
      <c r="F356" s="54" t="s">
        <v>61</v>
      </c>
      <c r="G356" s="54" t="s">
        <v>62</v>
      </c>
    </row>
    <row r="357" spans="2:7" ht="13.5" customHeight="1">
      <c r="B357" s="51" t="s">
        <v>63</v>
      </c>
      <c r="C357" s="55" t="e">
        <f>0.2*AVERAGE(VLOOKUP(Exam_18,Sum_Accuracy,9,FALSE),VLOOKUP(Exam_18,Sum_Accuracy,10,FALSE))</f>
        <v>#VALUE!</v>
      </c>
      <c r="D357" s="55" t="e">
        <f>0.2*AVERAGE(VLOOKUP(Exam_18,Sum_Accuracy,9,FALSE),VLOOKUP(Exam_18,Sum_Accuracy,10,FALSE))</f>
        <v>#VALUE!</v>
      </c>
      <c r="E357" s="55" t="e">
        <f>0.2*AVERAGE(VLOOKUP(Exam_18,Sum_Accuracy,9,FALSE),VLOOKUP(Exam_18,Sum_Accuracy,10,FALSE))</f>
        <v>#VALUE!</v>
      </c>
      <c r="F357" s="55" t="e">
        <f>0.2*AVERAGE(VLOOKUP(Exam_18,Sum_Accuracy,9,FALSE),VLOOKUP(Exam_18,Sum_Accuracy,10,FALSE))</f>
        <v>#VALUE!</v>
      </c>
      <c r="G357" s="55" t="e">
        <f>0.2*AVERAGE(VLOOKUP(Exam_18,Sum_Accuracy,9,FALSE),VLOOKUP(Exam_18,Sum_Accuracy,10,FALSE))</f>
        <v>#VALUE!</v>
      </c>
    </row>
    <row r="358" spans="2:7" ht="13.5" customHeight="1">
      <c r="B358" s="51" t="s">
        <v>69</v>
      </c>
      <c r="C358" s="55" t="e">
        <f>0.2*AVERAGE(VLOOKUP(Exam_18,Sum_Accuracy,11,FALSE),VLOOKUP(Exam_18,Sum_Accuracy,12,FALSE))</f>
        <v>#VALUE!</v>
      </c>
      <c r="D358" s="55" t="e">
        <f>0.2*AVERAGE(VLOOKUP(Exam_18,Sum_Accuracy,11,FALSE),VLOOKUP(Exam_18,Sum_Accuracy,12,FALSE))</f>
        <v>#VALUE!</v>
      </c>
      <c r="E358" s="55" t="e">
        <f>0.2*AVERAGE(VLOOKUP(Exam_18,Sum_Accuracy,11,FALSE),VLOOKUP(Exam_18,Sum_Accuracy,12,FALSE))</f>
        <v>#VALUE!</v>
      </c>
      <c r="F358" s="55" t="e">
        <f>0.2*AVERAGE(VLOOKUP(Exam_18,Sum_Accuracy,11,FALSE),VLOOKUP(Exam_18,Sum_Accuracy,12,FALSE))</f>
        <v>#VALUE!</v>
      </c>
      <c r="G358" s="55" t="e">
        <f>0.2*AVERAGE(VLOOKUP(Exam_18,Sum_Accuracy,11,FALSE),VLOOKUP(Exam_18,Sum_Accuracy,12,FALSE))</f>
        <v>#VALUE!</v>
      </c>
    </row>
    <row r="359" spans="2:7" ht="13.5" customHeight="1">
      <c r="B359" s="51" t="s">
        <v>64</v>
      </c>
      <c r="C359" s="55" t="e">
        <f>0.2*AVERAGE(VLOOKUP(Exam_18,Sum_Accuracy,13,FALSE),VLOOKUP(Exam_18,Sum_Accuracy,14,FALSE))</f>
        <v>#VALUE!</v>
      </c>
      <c r="D359" s="55" t="e">
        <f>0.2*AVERAGE(VLOOKUP(Exam_18,Sum_Accuracy,13,FALSE),VLOOKUP(Exam_18,Sum_Accuracy,14,FALSE))</f>
        <v>#VALUE!</v>
      </c>
      <c r="E359" s="55" t="e">
        <f>0.2*AVERAGE(VLOOKUP(Exam_18,Sum_Accuracy,13,FALSE),VLOOKUP(Exam_18,Sum_Accuracy,14,FALSE))</f>
        <v>#VALUE!</v>
      </c>
      <c r="F359" s="55" t="e">
        <f>0.2*AVERAGE(VLOOKUP(Exam_18,Sum_Accuracy,13,FALSE),VLOOKUP(Exam_18,Sum_Accuracy,14,FALSE))</f>
        <v>#VALUE!</v>
      </c>
      <c r="G359" s="55" t="e">
        <f>0.2*AVERAGE(VLOOKUP(Exam_18,Sum_Accuracy,13,FALSE),VLOOKUP(Exam_18,Sum_Accuracy,14,FALSE))</f>
        <v>#VALUE!</v>
      </c>
    </row>
    <row r="360" spans="2:7" ht="13.5" customHeight="1">
      <c r="B360" s="51" t="s">
        <v>65</v>
      </c>
      <c r="C360" s="55" t="e">
        <f>0.2*AVERAGE(VLOOKUP(Exam_18,Sum_Accuracy,15,FALSE),VLOOKUP(Exam_18,Sum_Accuracy,16,FALSE))</f>
        <v>#VALUE!</v>
      </c>
      <c r="D360" s="55" t="e">
        <f>0.2*AVERAGE(VLOOKUP(Exam_18,Sum_Accuracy,15,FALSE),VLOOKUP(Exam_18,Sum_Accuracy,16,FALSE))</f>
        <v>#VALUE!</v>
      </c>
      <c r="E360" s="55" t="e">
        <f>0.2*AVERAGE(VLOOKUP(Exam_18,Sum_Accuracy,15,FALSE),VLOOKUP(Exam_18,Sum_Accuracy,16,FALSE))</f>
        <v>#VALUE!</v>
      </c>
      <c r="F360" s="55" t="e">
        <f>0.2*AVERAGE(VLOOKUP(Exam_18,Sum_Accuracy,15,FALSE),VLOOKUP(Exam_18,Sum_Accuracy,16,FALSE))</f>
        <v>#VALUE!</v>
      </c>
      <c r="G360" s="55" t="e">
        <f>0.2*AVERAGE(VLOOKUP(Exam_18,Sum_Accuracy,15,FALSE),VLOOKUP(Exam_18,Sum_Accuracy,16,FALSE))</f>
        <v>#VALUE!</v>
      </c>
    </row>
    <row r="361" spans="2:7" ht="13.5" customHeight="1">
      <c r="B361" s="51" t="s">
        <v>66</v>
      </c>
      <c r="C361" s="55" t="e">
        <f>VLOOKUP(Exam_18,Sum_Accuracy,8,FALSE)/5</f>
        <v>#VALUE!</v>
      </c>
      <c r="D361" s="55" t="e">
        <f>VLOOKUP(Exam_18,Sum_Accuracy,8,FALSE)/5</f>
        <v>#VALUE!</v>
      </c>
      <c r="E361" s="55" t="e">
        <f>VLOOKUP(Exam_18,Sum_Accuracy,8,FALSE)/5</f>
        <v>#VALUE!</v>
      </c>
      <c r="F361" s="55" t="e">
        <f>VLOOKUP(Exam_18,Sum_Accuracy,8,FALSE)/5</f>
        <v>#VALUE!</v>
      </c>
      <c r="G361" s="55" t="e">
        <f>VLOOKUP(Exam_18,Sum_Accuracy,8,FALSE)/5</f>
        <v>#VALUE!</v>
      </c>
    </row>
    <row r="362" spans="2:7" ht="13.5" customHeight="1">
      <c r="B362" s="241"/>
      <c r="C362" s="241"/>
      <c r="D362" s="241"/>
      <c r="E362" s="241"/>
      <c r="F362" s="241"/>
      <c r="G362" s="241"/>
    </row>
    <row r="364" spans="2:7" ht="13.5" customHeight="1">
      <c r="B364" s="245" t="s">
        <v>67</v>
      </c>
      <c r="C364" s="245"/>
      <c r="D364" s="245"/>
      <c r="E364" s="245"/>
      <c r="F364" s="245"/>
      <c r="G364" s="245"/>
    </row>
    <row r="365" spans="2:7" ht="13.5" customHeight="1">
      <c r="B365" s="246"/>
      <c r="C365" s="246"/>
      <c r="D365" s="246"/>
      <c r="E365" s="246"/>
      <c r="F365" s="246"/>
      <c r="G365" s="246"/>
    </row>
    <row r="366" spans="2:7" ht="13.5" customHeight="1">
      <c r="B366" s="52" t="s">
        <v>71</v>
      </c>
      <c r="C366" s="242" t="str">
        <f>BeerName1</f>
        <v>Style1</v>
      </c>
      <c r="D366" s="242"/>
      <c r="E366" s="242"/>
      <c r="F366" s="242"/>
      <c r="G366" s="242"/>
    </row>
    <row r="367" spans="2:7" ht="13.5" customHeight="1">
      <c r="B367" s="241"/>
      <c r="C367" s="241"/>
      <c r="D367" s="241"/>
      <c r="E367" s="241"/>
      <c r="F367" s="241"/>
      <c r="G367" s="241"/>
    </row>
    <row r="368" spans="2:7" ht="13.5" customHeight="1">
      <c r="B368" s="50" t="s">
        <v>68</v>
      </c>
      <c r="C368" s="54" t="s">
        <v>58</v>
      </c>
      <c r="D368" s="54" t="s">
        <v>59</v>
      </c>
      <c r="E368" s="54" t="s">
        <v>60</v>
      </c>
      <c r="F368" s="54" t="s">
        <v>61</v>
      </c>
      <c r="G368" s="54" t="s">
        <v>62</v>
      </c>
    </row>
    <row r="369" spans="2:7" ht="13.5" customHeight="1">
      <c r="B369" s="51" t="s">
        <v>63</v>
      </c>
      <c r="C369" s="55" t="e">
        <f>VLOOKUP(Exam_18,AverageScores,b1_perception,FALSE)</f>
        <v>#DIV/0!</v>
      </c>
      <c r="D369" s="55" t="e">
        <f>VLOOKUP(Exam_18,AverageScores,b1_perception,FALSE)</f>
        <v>#DIV/0!</v>
      </c>
      <c r="E369" s="55" t="e">
        <f>VLOOKUP(Exam_18,AverageScores,b1_perception,FALSE)</f>
        <v>#DIV/0!</v>
      </c>
      <c r="F369" s="55" t="e">
        <f>VLOOKUP(Exam_18,AverageScores,b1_perception,FALSE)</f>
        <v>#DIV/0!</v>
      </c>
      <c r="G369" s="55" t="e">
        <f>VLOOKUP(Exam_18,AverageScores,b1_perception,FALSE)</f>
        <v>#DIV/0!</v>
      </c>
    </row>
    <row r="370" spans="2:7" ht="13.5" customHeight="1">
      <c r="B370" s="51" t="s">
        <v>69</v>
      </c>
      <c r="C370" s="55" t="e">
        <f>VLOOKUP(Exam_18,AverageScores,b1_descriptive,FALSE)</f>
        <v>#DIV/0!</v>
      </c>
      <c r="D370" s="55" t="e">
        <f>VLOOKUP(Exam_18,AverageScores,b1_descriptive,FALSE)</f>
        <v>#DIV/0!</v>
      </c>
      <c r="E370" s="55" t="e">
        <f>VLOOKUP(Exam_18,AverageScores,b1_descriptive,FALSE)</f>
        <v>#DIV/0!</v>
      </c>
      <c r="F370" s="55" t="e">
        <f>VLOOKUP(Exam_18,AverageScores,b1_descriptive,FALSE)</f>
        <v>#DIV/0!</v>
      </c>
      <c r="G370" s="55" t="e">
        <f>VLOOKUP(Exam_18,AverageScores,b1_descriptive,FALSE)</f>
        <v>#DIV/0!</v>
      </c>
    </row>
    <row r="371" spans="2:7" ht="13.5" customHeight="1">
      <c r="B371" s="51" t="s">
        <v>64</v>
      </c>
      <c r="C371" s="55" t="e">
        <f>VLOOKUP(Exam_18,AverageScores,b1_feedback,FALSE)</f>
        <v>#DIV/0!</v>
      </c>
      <c r="D371" s="55" t="e">
        <f>VLOOKUP(Exam_18,AverageScores,b1_feedback,FALSE)</f>
        <v>#DIV/0!</v>
      </c>
      <c r="E371" s="55" t="e">
        <f>VLOOKUP(Exam_18,AverageScores,b1_feedback,FALSE)</f>
        <v>#DIV/0!</v>
      </c>
      <c r="F371" s="55" t="e">
        <f>VLOOKUP(Exam_18,AverageScores,b1_feedback,FALSE)</f>
        <v>#DIV/0!</v>
      </c>
      <c r="G371" s="55" t="e">
        <f>VLOOKUP(Exam_18,AverageScores,b1_feedback,FALSE)</f>
        <v>#DIV/0!</v>
      </c>
    </row>
    <row r="372" spans="2:7" ht="13.5" customHeight="1">
      <c r="B372" s="51" t="s">
        <v>65</v>
      </c>
      <c r="C372" s="55" t="e">
        <f>VLOOKUP(Exam_18,AverageScores,b1_completeness,FALSE)</f>
        <v>#DIV/0!</v>
      </c>
      <c r="D372" s="55" t="e">
        <f>VLOOKUP(Exam_18,AverageScores,b1_completeness,FALSE)</f>
        <v>#DIV/0!</v>
      </c>
      <c r="E372" s="55" t="e">
        <f>VLOOKUP(Exam_18,AverageScores,b1_completeness,FALSE)</f>
        <v>#DIV/0!</v>
      </c>
      <c r="F372" s="55" t="e">
        <f>VLOOKUP(Exam_18,AverageScores,b1_completeness,FALSE)</f>
        <v>#DIV/0!</v>
      </c>
      <c r="G372" s="55" t="e">
        <f>VLOOKUP(Exam_18,AverageScores,b1_completeness,FALSE)</f>
        <v>#DIV/0!</v>
      </c>
    </row>
    <row r="373" spans="2:7" ht="13.5" customHeight="1">
      <c r="B373" s="51" t="s">
        <v>66</v>
      </c>
      <c r="C373" s="55">
        <f>VLOOKUP(Exam_18,ScoringAccuracyTable,b1_accuracy,FALSE)</f>
      </c>
      <c r="D373" s="55">
        <f>VLOOKUP(Exam_18,ScoringAccuracyTable,b1_accuracy,FALSE)</f>
      </c>
      <c r="E373" s="55">
        <f>VLOOKUP(Exam_18,ScoringAccuracyTable,b1_accuracy,FALSE)</f>
      </c>
      <c r="F373" s="55">
        <f>VLOOKUP(Exam_18,ScoringAccuracyTable,b1_accuracy,FALSE)</f>
      </c>
      <c r="G373" s="55">
        <f>VLOOKUP(Exam_18,ScoringAccuracyTable,b1_accuracy,FALSE)</f>
      </c>
    </row>
    <row r="374" spans="2:7" ht="13.5" customHeight="1">
      <c r="B374" s="241"/>
      <c r="C374" s="241"/>
      <c r="D374" s="241"/>
      <c r="E374" s="241"/>
      <c r="F374" s="241"/>
      <c r="G374" s="241"/>
    </row>
    <row r="375" spans="2:7" ht="13.5" customHeight="1">
      <c r="B375" s="52" t="s">
        <v>72</v>
      </c>
      <c r="C375" s="242" t="str">
        <f>BeerName2</f>
        <v>Style2</v>
      </c>
      <c r="D375" s="242"/>
      <c r="E375" s="242"/>
      <c r="F375" s="242"/>
      <c r="G375" s="242"/>
    </row>
    <row r="376" spans="2:7" ht="13.5" customHeight="1">
      <c r="B376" s="247"/>
      <c r="C376" s="247"/>
      <c r="D376" s="247"/>
      <c r="E376" s="247"/>
      <c r="F376" s="247"/>
      <c r="G376" s="247"/>
    </row>
    <row r="377" spans="2:7" ht="13.5" customHeight="1">
      <c r="B377" s="50" t="s">
        <v>68</v>
      </c>
      <c r="C377" s="56" t="s">
        <v>58</v>
      </c>
      <c r="D377" s="56" t="s">
        <v>59</v>
      </c>
      <c r="E377" s="56" t="s">
        <v>60</v>
      </c>
      <c r="F377" s="56" t="s">
        <v>61</v>
      </c>
      <c r="G377" s="56" t="s">
        <v>62</v>
      </c>
    </row>
    <row r="378" spans="2:7" ht="13.5" customHeight="1">
      <c r="B378" s="51" t="s">
        <v>63</v>
      </c>
      <c r="C378" s="55" t="e">
        <f>VLOOKUP(Exam_18,AverageScores,b2_perceptive,FALSE)</f>
        <v>#DIV/0!</v>
      </c>
      <c r="D378" s="55" t="e">
        <f>VLOOKUP(Exam_18,AverageScores,b2_perceptive,FALSE)</f>
        <v>#DIV/0!</v>
      </c>
      <c r="E378" s="55" t="e">
        <f>VLOOKUP(Exam_18,AverageScores,b2_perceptive,FALSE)</f>
        <v>#DIV/0!</v>
      </c>
      <c r="F378" s="55" t="e">
        <f>VLOOKUP(Exam_18,AverageScores,b2_perceptive,FALSE)</f>
        <v>#DIV/0!</v>
      </c>
      <c r="G378" s="55" t="e">
        <f>VLOOKUP(Exam_18,AverageScores,b2_perceptive,FALSE)</f>
        <v>#DIV/0!</v>
      </c>
    </row>
    <row r="379" spans="2:7" ht="13.5" customHeight="1">
      <c r="B379" s="51" t="s">
        <v>69</v>
      </c>
      <c r="C379" s="55" t="e">
        <f>VLOOKUP(Exam_18,AverageScores,b2_descriptive,FALSE)</f>
        <v>#DIV/0!</v>
      </c>
      <c r="D379" s="55" t="e">
        <f>VLOOKUP(Exam_18,AverageScores,b2_descriptive,FALSE)</f>
        <v>#DIV/0!</v>
      </c>
      <c r="E379" s="55" t="e">
        <f>VLOOKUP(Exam_18,AverageScores,b2_descriptive,FALSE)</f>
        <v>#DIV/0!</v>
      </c>
      <c r="F379" s="55" t="e">
        <f>VLOOKUP(Exam_18,AverageScores,b2_descriptive,FALSE)</f>
        <v>#DIV/0!</v>
      </c>
      <c r="G379" s="55" t="e">
        <f>VLOOKUP(Exam_18,AverageScores,b2_descriptive,FALSE)</f>
        <v>#DIV/0!</v>
      </c>
    </row>
    <row r="380" spans="2:7" ht="13.5" customHeight="1">
      <c r="B380" s="51" t="s">
        <v>64</v>
      </c>
      <c r="C380" s="55" t="e">
        <f>VLOOKUP(Exam_18,AverageScores,b2_feedback,FALSE)</f>
        <v>#DIV/0!</v>
      </c>
      <c r="D380" s="55" t="e">
        <f>VLOOKUP(Exam_18,AverageScores,b2_feedback,FALSE)</f>
        <v>#DIV/0!</v>
      </c>
      <c r="E380" s="55" t="e">
        <f>VLOOKUP(Exam_18,AverageScores,b2_feedback,FALSE)</f>
        <v>#DIV/0!</v>
      </c>
      <c r="F380" s="55" t="e">
        <f>VLOOKUP(Exam_18,AverageScores,b2_feedback,FALSE)</f>
        <v>#DIV/0!</v>
      </c>
      <c r="G380" s="55" t="e">
        <f>VLOOKUP(Exam_18,AverageScores,b2_feedback,FALSE)</f>
        <v>#DIV/0!</v>
      </c>
    </row>
    <row r="381" spans="2:7" ht="13.5" customHeight="1">
      <c r="B381" s="51" t="s">
        <v>65</v>
      </c>
      <c r="C381" s="55" t="e">
        <f>VLOOKUP(Exam_18,AverageScores,b2_completeness,FALSE)</f>
        <v>#DIV/0!</v>
      </c>
      <c r="D381" s="55" t="e">
        <f>VLOOKUP(Exam_18,AverageScores,b2_completeness,FALSE)</f>
        <v>#DIV/0!</v>
      </c>
      <c r="E381" s="55" t="e">
        <f>VLOOKUP(Exam_18,AverageScores,b2_completeness,FALSE)</f>
        <v>#DIV/0!</v>
      </c>
      <c r="F381" s="55" t="e">
        <f>VLOOKUP(Exam_18,AverageScores,b2_completeness,FALSE)</f>
        <v>#DIV/0!</v>
      </c>
      <c r="G381" s="55" t="e">
        <f>VLOOKUP(Exam_18,AverageScores,b2_completeness,FALSE)</f>
        <v>#DIV/0!</v>
      </c>
    </row>
    <row r="382" spans="2:7" ht="13.5" customHeight="1">
      <c r="B382" s="51" t="s">
        <v>66</v>
      </c>
      <c r="C382" s="55">
        <f>VLOOKUP(Exam_18,ScoringAccuracyTable,b2_accuracy,FALSE)</f>
      </c>
      <c r="D382" s="55">
        <f>VLOOKUP(Exam_18,ScoringAccuracyTable,b2_accuracy,FALSE)</f>
      </c>
      <c r="E382" s="55">
        <f>VLOOKUP(Exam_18,ScoringAccuracyTable,b2_accuracy,FALSE)</f>
      </c>
      <c r="F382" s="55">
        <f>VLOOKUP(Exam_18,ScoringAccuracyTable,b2_accuracy,FALSE)</f>
      </c>
      <c r="G382" s="55">
        <f>VLOOKUP(Exam_18,ScoringAccuracyTable,b2_accuracy,FALSE)</f>
      </c>
    </row>
    <row r="383" spans="2:7" ht="13.5" customHeight="1">
      <c r="B383" s="241"/>
      <c r="C383" s="241"/>
      <c r="D383" s="241"/>
      <c r="E383" s="241"/>
      <c r="F383" s="241"/>
      <c r="G383" s="241"/>
    </row>
    <row r="384" spans="2:7" ht="13.5" customHeight="1">
      <c r="B384" s="52" t="s">
        <v>76</v>
      </c>
      <c r="C384" s="242" t="str">
        <f>BeerName3</f>
        <v>Style3</v>
      </c>
      <c r="D384" s="242"/>
      <c r="E384" s="242"/>
      <c r="F384" s="242"/>
      <c r="G384" s="242"/>
    </row>
    <row r="385" spans="2:7" ht="13.5" customHeight="1">
      <c r="B385" s="247"/>
      <c r="C385" s="247"/>
      <c r="D385" s="247"/>
      <c r="E385" s="247"/>
      <c r="F385" s="247"/>
      <c r="G385" s="247"/>
    </row>
    <row r="386" spans="2:7" ht="13.5" customHeight="1">
      <c r="B386" s="50" t="s">
        <v>68</v>
      </c>
      <c r="C386" s="54" t="s">
        <v>58</v>
      </c>
      <c r="D386" s="54" t="s">
        <v>59</v>
      </c>
      <c r="E386" s="54" t="s">
        <v>60</v>
      </c>
      <c r="F386" s="54" t="s">
        <v>61</v>
      </c>
      <c r="G386" s="54" t="s">
        <v>62</v>
      </c>
    </row>
    <row r="387" spans="2:7" ht="13.5" customHeight="1">
      <c r="B387" s="51" t="s">
        <v>63</v>
      </c>
      <c r="C387" s="55" t="e">
        <f>VLOOKUP(Exam_18,AverageScores,b3_perception,FALSE)</f>
        <v>#DIV/0!</v>
      </c>
      <c r="D387" s="55" t="e">
        <f>VLOOKUP(Exam_18,AverageScores,b3_perception,FALSE)</f>
        <v>#DIV/0!</v>
      </c>
      <c r="E387" s="55" t="e">
        <f>VLOOKUP(Exam_18,AverageScores,b3_perception,FALSE)</f>
        <v>#DIV/0!</v>
      </c>
      <c r="F387" s="55" t="e">
        <f>VLOOKUP(Exam_18,AverageScores,b3_perception,FALSE)</f>
        <v>#DIV/0!</v>
      </c>
      <c r="G387" s="55" t="e">
        <f>VLOOKUP(Exam_18,AverageScores,b3_perception,FALSE)</f>
        <v>#DIV/0!</v>
      </c>
    </row>
    <row r="388" spans="2:7" ht="13.5" customHeight="1">
      <c r="B388" s="51" t="s">
        <v>69</v>
      </c>
      <c r="C388" s="55" t="e">
        <f>VLOOKUP(Exam_18,AverageScores,b3_descriptive,FALSE)</f>
        <v>#DIV/0!</v>
      </c>
      <c r="D388" s="55" t="e">
        <f>VLOOKUP(Exam_18,AverageScores,b3_descriptive,FALSE)</f>
        <v>#DIV/0!</v>
      </c>
      <c r="E388" s="55" t="e">
        <f>VLOOKUP(Exam_18,AverageScores,b3_descriptive,FALSE)</f>
        <v>#DIV/0!</v>
      </c>
      <c r="F388" s="55" t="e">
        <f>VLOOKUP(Exam_18,AverageScores,b3_descriptive,FALSE)</f>
        <v>#DIV/0!</v>
      </c>
      <c r="G388" s="55" t="e">
        <f>VLOOKUP(Exam_18,AverageScores,b3_descriptive,FALSE)</f>
        <v>#DIV/0!</v>
      </c>
    </row>
    <row r="389" spans="2:7" ht="13.5" customHeight="1">
      <c r="B389" s="51" t="s">
        <v>64</v>
      </c>
      <c r="C389" s="55" t="e">
        <f>VLOOKUP(Exam_18,AverageScores,b3_feedback,FALSE)</f>
        <v>#DIV/0!</v>
      </c>
      <c r="D389" s="55" t="e">
        <f>VLOOKUP(Exam_18,AverageScores,b3_feedback,FALSE)</f>
        <v>#DIV/0!</v>
      </c>
      <c r="E389" s="55" t="e">
        <f>VLOOKUP(Exam_18,AverageScores,b3_feedback,FALSE)</f>
        <v>#DIV/0!</v>
      </c>
      <c r="F389" s="55" t="e">
        <f>VLOOKUP(Exam_18,AverageScores,b3_feedback,FALSE)</f>
        <v>#DIV/0!</v>
      </c>
      <c r="G389" s="55" t="e">
        <f>VLOOKUP(Exam_18,AverageScores,b3_feedback,FALSE)</f>
        <v>#DIV/0!</v>
      </c>
    </row>
    <row r="390" spans="2:7" ht="13.5" customHeight="1">
      <c r="B390" s="51" t="s">
        <v>65</v>
      </c>
      <c r="C390" s="55" t="e">
        <f>VLOOKUP(Exam_18,AverageScores,b3_completeness,FALSE)</f>
        <v>#DIV/0!</v>
      </c>
      <c r="D390" s="55" t="e">
        <f>VLOOKUP(Exam_18,AverageScores,b3_completeness,FALSE)</f>
        <v>#DIV/0!</v>
      </c>
      <c r="E390" s="55" t="e">
        <f>VLOOKUP(Exam_18,AverageScores,b3_completeness,FALSE)</f>
        <v>#DIV/0!</v>
      </c>
      <c r="F390" s="55" t="e">
        <f>VLOOKUP(Exam_18,AverageScores,b3_completeness,FALSE)</f>
        <v>#DIV/0!</v>
      </c>
      <c r="G390" s="55" t="e">
        <f>VLOOKUP(Exam_18,AverageScores,b3_completeness,FALSE)</f>
        <v>#DIV/0!</v>
      </c>
    </row>
    <row r="391" spans="2:7" ht="13.5" customHeight="1">
      <c r="B391" s="51" t="s">
        <v>66</v>
      </c>
      <c r="C391" s="55">
        <f>VLOOKUP(Exam_18,ScoringAccuracyTable,b3_accuracy,FALSE)</f>
      </c>
      <c r="D391" s="55">
        <f>VLOOKUP(Exam_18,ScoringAccuracyTable,b3_accuracy,FALSE)</f>
      </c>
      <c r="E391" s="55">
        <f>VLOOKUP(Exam_18,ScoringAccuracyTable,b3_accuracy,FALSE)</f>
      </c>
      <c r="F391" s="55">
        <f>VLOOKUP(Exam_18,ScoringAccuracyTable,b3_accuracy,FALSE)</f>
      </c>
      <c r="G391" s="55">
        <f>VLOOKUP(Exam_18,ScoringAccuracyTable,b3_accuracy,FALSE)</f>
      </c>
    </row>
    <row r="392" spans="2:7" ht="13.5" customHeight="1">
      <c r="B392" s="241"/>
      <c r="C392" s="241"/>
      <c r="D392" s="241"/>
      <c r="E392" s="241"/>
      <c r="F392" s="241"/>
      <c r="G392" s="241"/>
    </row>
    <row r="393" spans="2:7" ht="13.5" customHeight="1">
      <c r="B393" s="52" t="s">
        <v>75</v>
      </c>
      <c r="C393" s="242" t="str">
        <f>BeerName4</f>
        <v>Style4</v>
      </c>
      <c r="D393" s="242"/>
      <c r="E393" s="242"/>
      <c r="F393" s="242"/>
      <c r="G393" s="242"/>
    </row>
    <row r="394" spans="2:7" ht="13.5" customHeight="1">
      <c r="B394" s="241"/>
      <c r="C394" s="241"/>
      <c r="D394" s="241"/>
      <c r="E394" s="241"/>
      <c r="F394" s="241"/>
      <c r="G394" s="241"/>
    </row>
    <row r="395" spans="2:7" ht="13.5" customHeight="1">
      <c r="B395" s="50" t="s">
        <v>68</v>
      </c>
      <c r="C395" s="54" t="s">
        <v>58</v>
      </c>
      <c r="D395" s="54" t="s">
        <v>59</v>
      </c>
      <c r="E395" s="54" t="s">
        <v>60</v>
      </c>
      <c r="F395" s="54" t="s">
        <v>61</v>
      </c>
      <c r="G395" s="54" t="s">
        <v>62</v>
      </c>
    </row>
    <row r="396" spans="2:7" ht="13.5" customHeight="1">
      <c r="B396" s="51" t="s">
        <v>63</v>
      </c>
      <c r="C396" s="55" t="e">
        <f>VLOOKUP(Exam_18,AverageScores,b4_perception,FALSE)</f>
        <v>#DIV/0!</v>
      </c>
      <c r="D396" s="55" t="e">
        <f>VLOOKUP(Exam_18,AverageScores,b4_perception,FALSE)</f>
        <v>#DIV/0!</v>
      </c>
      <c r="E396" s="55" t="e">
        <f>VLOOKUP(Exam_18,AverageScores,b4_perception,FALSE)</f>
        <v>#DIV/0!</v>
      </c>
      <c r="F396" s="55" t="e">
        <f>VLOOKUP(Exam_18,AverageScores,b4_perception,FALSE)</f>
        <v>#DIV/0!</v>
      </c>
      <c r="G396" s="55" t="e">
        <f>VLOOKUP(Exam_18,AverageScores,b4_perception,FALSE)</f>
        <v>#DIV/0!</v>
      </c>
    </row>
    <row r="397" spans="2:7" ht="13.5" customHeight="1">
      <c r="B397" s="51" t="s">
        <v>69</v>
      </c>
      <c r="C397" s="55" t="e">
        <f>VLOOKUP(Exam_18,AverageScores,b4_descriptive,FALSE)</f>
        <v>#DIV/0!</v>
      </c>
      <c r="D397" s="55" t="e">
        <f>VLOOKUP(Exam_18,AverageScores,b4_descriptive,FALSE)</f>
        <v>#DIV/0!</v>
      </c>
      <c r="E397" s="55" t="e">
        <f>VLOOKUP(Exam_18,AverageScores,b4_descriptive,FALSE)</f>
        <v>#DIV/0!</v>
      </c>
      <c r="F397" s="55" t="e">
        <f>VLOOKUP(Exam_18,AverageScores,b4_descriptive,FALSE)</f>
        <v>#DIV/0!</v>
      </c>
      <c r="G397" s="55" t="e">
        <f>VLOOKUP(Exam_18,AverageScores,b4_descriptive,FALSE)</f>
        <v>#DIV/0!</v>
      </c>
    </row>
    <row r="398" spans="2:7" ht="13.5" customHeight="1">
      <c r="B398" s="51" t="s">
        <v>64</v>
      </c>
      <c r="C398" s="55" t="e">
        <f>VLOOKUP(Exam_18,AverageScores,b4_feedback,FALSE)</f>
        <v>#DIV/0!</v>
      </c>
      <c r="D398" s="55" t="e">
        <f>VLOOKUP(Exam_18,AverageScores,b4_feedback,FALSE)</f>
        <v>#DIV/0!</v>
      </c>
      <c r="E398" s="55" t="e">
        <f>VLOOKUP(Exam_18,AverageScores,b4_feedback,FALSE)</f>
        <v>#DIV/0!</v>
      </c>
      <c r="F398" s="55" t="e">
        <f>VLOOKUP(Exam_18,AverageScores,b4_feedback,FALSE)</f>
        <v>#DIV/0!</v>
      </c>
      <c r="G398" s="55" t="e">
        <f>VLOOKUP(Exam_18,AverageScores,b4_feedback,FALSE)</f>
        <v>#DIV/0!</v>
      </c>
    </row>
    <row r="399" spans="2:7" ht="13.5" customHeight="1">
      <c r="B399" s="51" t="s">
        <v>65</v>
      </c>
      <c r="C399" s="55" t="e">
        <f>VLOOKUP(Exam_18,AverageScores,b4_completeness,FALSE)</f>
        <v>#DIV/0!</v>
      </c>
      <c r="D399" s="55" t="e">
        <f>VLOOKUP(Exam_18,AverageScores,b4_completeness,FALSE)</f>
        <v>#DIV/0!</v>
      </c>
      <c r="E399" s="55" t="e">
        <f>VLOOKUP(Exam_18,AverageScores,b4_completeness,FALSE)</f>
        <v>#DIV/0!</v>
      </c>
      <c r="F399" s="55" t="e">
        <f>VLOOKUP(Exam_18,AverageScores,b4_completeness,FALSE)</f>
        <v>#DIV/0!</v>
      </c>
      <c r="G399" s="55" t="e">
        <f>VLOOKUP(Exam_18,AverageScores,b4_completeness,FALSE)</f>
        <v>#DIV/0!</v>
      </c>
    </row>
    <row r="400" spans="2:7" ht="13.5" customHeight="1">
      <c r="B400" s="51" t="s">
        <v>66</v>
      </c>
      <c r="C400" s="55">
        <f>VLOOKUP(Exam_18,ScoringAccuracyTable,b4_accuracy,FALSE)</f>
      </c>
      <c r="D400" s="55">
        <f>VLOOKUP(Exam_18,ScoringAccuracyTable,b4_accuracy,FALSE)</f>
      </c>
      <c r="E400" s="55">
        <f>VLOOKUP(Exam_18,ScoringAccuracyTable,b4_accuracy,FALSE)</f>
      </c>
      <c r="F400" s="55">
        <f>VLOOKUP(Exam_18,ScoringAccuracyTable,b4_accuracy,FALSE)</f>
      </c>
      <c r="G400" s="55">
        <f>VLOOKUP(Exam_18,ScoringAccuracyTable,b4_accuracy,FALSE)</f>
      </c>
    </row>
    <row r="401" spans="2:7" ht="13.5" customHeight="1">
      <c r="B401" s="241"/>
      <c r="C401" s="241"/>
      <c r="D401" s="241"/>
      <c r="E401" s="241"/>
      <c r="F401" s="241"/>
      <c r="G401" s="241"/>
    </row>
    <row r="406" spans="2:7" ht="13.5" customHeight="1">
      <c r="B406" s="52" t="s">
        <v>74</v>
      </c>
      <c r="C406" s="242" t="str">
        <f>BeerName5</f>
        <v>Style5</v>
      </c>
      <c r="D406" s="242"/>
      <c r="E406" s="242"/>
      <c r="F406" s="242"/>
      <c r="G406" s="242"/>
    </row>
    <row r="407" spans="2:7" ht="13.5" customHeight="1">
      <c r="B407" s="241"/>
      <c r="C407" s="241"/>
      <c r="D407" s="241"/>
      <c r="E407" s="241"/>
      <c r="F407" s="241"/>
      <c r="G407" s="241"/>
    </row>
    <row r="408" spans="2:7" ht="13.5" customHeight="1">
      <c r="B408" s="50" t="s">
        <v>68</v>
      </c>
      <c r="C408" s="54" t="s">
        <v>58</v>
      </c>
      <c r="D408" s="54" t="s">
        <v>59</v>
      </c>
      <c r="E408" s="54" t="s">
        <v>60</v>
      </c>
      <c r="F408" s="54" t="s">
        <v>61</v>
      </c>
      <c r="G408" s="54" t="s">
        <v>62</v>
      </c>
    </row>
    <row r="409" spans="2:7" ht="13.5" customHeight="1">
      <c r="B409" s="51" t="s">
        <v>63</v>
      </c>
      <c r="C409" s="55" t="e">
        <f>VLOOKUP(Exam_18,AverageScores,b5_perception,FALSE)</f>
        <v>#DIV/0!</v>
      </c>
      <c r="D409" s="55" t="e">
        <f>VLOOKUP(Exam_18,AverageScores,b5_perception,FALSE)</f>
        <v>#DIV/0!</v>
      </c>
      <c r="E409" s="55" t="e">
        <f>VLOOKUP(Exam_18,AverageScores,b5_perception,FALSE)</f>
        <v>#DIV/0!</v>
      </c>
      <c r="F409" s="55" t="e">
        <f>VLOOKUP(Exam_18,AverageScores,b5_perception,FALSE)</f>
        <v>#DIV/0!</v>
      </c>
      <c r="G409" s="55" t="e">
        <f>VLOOKUP(Exam_18,AverageScores,b5_perception,FALSE)</f>
        <v>#DIV/0!</v>
      </c>
    </row>
    <row r="410" spans="2:7" ht="13.5" customHeight="1">
      <c r="B410" s="51" t="s">
        <v>69</v>
      </c>
      <c r="C410" s="55" t="e">
        <f>VLOOKUP(Exam_18,AverageScores,b5_descriptive,FALSE)</f>
        <v>#DIV/0!</v>
      </c>
      <c r="D410" s="55" t="e">
        <f>VLOOKUP(Exam_18,AverageScores,b5_descriptive,FALSE)</f>
        <v>#DIV/0!</v>
      </c>
      <c r="E410" s="55" t="e">
        <f>VLOOKUP(Exam_18,AverageScores,b5_descriptive,FALSE)</f>
        <v>#DIV/0!</v>
      </c>
      <c r="F410" s="55" t="e">
        <f>VLOOKUP(Exam_18,AverageScores,b5_descriptive,FALSE)</f>
        <v>#DIV/0!</v>
      </c>
      <c r="G410" s="55" t="e">
        <f>VLOOKUP(Exam_18,AverageScores,b5_descriptive,FALSE)</f>
        <v>#DIV/0!</v>
      </c>
    </row>
    <row r="411" spans="2:7" ht="13.5" customHeight="1">
      <c r="B411" s="51" t="s">
        <v>64</v>
      </c>
      <c r="C411" s="55" t="e">
        <f>VLOOKUP(Exam_18,AverageScores,b5_feedback,FALSE)</f>
        <v>#DIV/0!</v>
      </c>
      <c r="D411" s="55" t="e">
        <f>VLOOKUP(Exam_18,AverageScores,b5_feedback,FALSE)</f>
        <v>#DIV/0!</v>
      </c>
      <c r="E411" s="55" t="e">
        <f>VLOOKUP(Exam_18,AverageScores,b5_feedback,FALSE)</f>
        <v>#DIV/0!</v>
      </c>
      <c r="F411" s="55" t="e">
        <f>VLOOKUP(Exam_18,AverageScores,b5_feedback,FALSE)</f>
        <v>#DIV/0!</v>
      </c>
      <c r="G411" s="55" t="e">
        <f>VLOOKUP(Exam_18,AverageScores,b5_feedback,FALSE)</f>
        <v>#DIV/0!</v>
      </c>
    </row>
    <row r="412" spans="2:7" ht="13.5" customHeight="1">
      <c r="B412" s="51" t="s">
        <v>65</v>
      </c>
      <c r="C412" s="55" t="e">
        <f>VLOOKUP(Exam_18,AverageScores,b5_completeness,FALSE)</f>
        <v>#DIV/0!</v>
      </c>
      <c r="D412" s="55" t="e">
        <f>VLOOKUP(Exam_18,AverageScores,b5_completeness,FALSE)</f>
        <v>#DIV/0!</v>
      </c>
      <c r="E412" s="55" t="e">
        <f>VLOOKUP(Exam_18,AverageScores,b5_completeness,FALSE)</f>
        <v>#DIV/0!</v>
      </c>
      <c r="F412" s="55" t="e">
        <f>VLOOKUP(Exam_18,AverageScores,b5_completeness,FALSE)</f>
        <v>#DIV/0!</v>
      </c>
      <c r="G412" s="55" t="e">
        <f>VLOOKUP(Exam_18,AverageScores,b5_completeness,FALSE)</f>
        <v>#DIV/0!</v>
      </c>
    </row>
    <row r="413" spans="2:7" ht="13.5" customHeight="1">
      <c r="B413" s="51" t="s">
        <v>66</v>
      </c>
      <c r="C413" s="55">
        <f>VLOOKUP(Exam_18,ScoringAccuracyTable,b5_accuracy,FALSE)</f>
      </c>
      <c r="D413" s="55">
        <f>VLOOKUP(Exam_18,ScoringAccuracyTable,b5_accuracy,FALSE)</f>
      </c>
      <c r="E413" s="55">
        <f>VLOOKUP(Exam_18,ScoringAccuracyTable,b5_accuracy,FALSE)</f>
      </c>
      <c r="F413" s="55">
        <f>VLOOKUP(Exam_18,ScoringAccuracyTable,b5_accuracy,FALSE)</f>
      </c>
      <c r="G413" s="55">
        <f>VLOOKUP(Exam_18,ScoringAccuracyTable,b5_accuracy,FALSE)</f>
      </c>
    </row>
    <row r="414" spans="2:7" ht="13.5" customHeight="1">
      <c r="B414" s="241"/>
      <c r="C414" s="241"/>
      <c r="D414" s="241"/>
      <c r="E414" s="241"/>
      <c r="F414" s="241"/>
      <c r="G414" s="241"/>
    </row>
    <row r="415" spans="2:7" ht="13.5" customHeight="1">
      <c r="B415" s="52" t="s">
        <v>73</v>
      </c>
      <c r="C415" s="242" t="str">
        <f>BeerName6</f>
        <v>Style6</v>
      </c>
      <c r="D415" s="242"/>
      <c r="E415" s="242"/>
      <c r="F415" s="242"/>
      <c r="G415" s="242"/>
    </row>
    <row r="416" spans="2:7" ht="13.5" customHeight="1">
      <c r="B416" s="241"/>
      <c r="C416" s="241"/>
      <c r="D416" s="241"/>
      <c r="E416" s="241"/>
      <c r="F416" s="241"/>
      <c r="G416" s="241"/>
    </row>
    <row r="417" spans="2:7" ht="13.5" customHeight="1">
      <c r="B417" s="50" t="s">
        <v>68</v>
      </c>
      <c r="C417" s="54" t="s">
        <v>58</v>
      </c>
      <c r="D417" s="54" t="s">
        <v>59</v>
      </c>
      <c r="E417" s="54" t="s">
        <v>60</v>
      </c>
      <c r="F417" s="54" t="s">
        <v>61</v>
      </c>
      <c r="G417" s="54" t="s">
        <v>62</v>
      </c>
    </row>
    <row r="418" spans="2:7" ht="13.5" customHeight="1">
      <c r="B418" s="51" t="s">
        <v>63</v>
      </c>
      <c r="C418" s="55" t="e">
        <f>VLOOKUP(Exam_18,AverageScores,b6_perception,FALSE)</f>
        <v>#DIV/0!</v>
      </c>
      <c r="D418" s="55" t="e">
        <f>VLOOKUP(Exam_18,AverageScores,b6_perception,FALSE)</f>
        <v>#DIV/0!</v>
      </c>
      <c r="E418" s="55" t="e">
        <f>VLOOKUP(Exam_18,AverageScores,b6_perception,FALSE)</f>
        <v>#DIV/0!</v>
      </c>
      <c r="F418" s="55" t="e">
        <f>VLOOKUP(Exam_18,AverageScores,b6_perception,FALSE)</f>
        <v>#DIV/0!</v>
      </c>
      <c r="G418" s="55" t="e">
        <f>VLOOKUP(Exam_18,AverageScores,b6_perception,FALSE)</f>
        <v>#DIV/0!</v>
      </c>
    </row>
    <row r="419" spans="2:7" ht="13.5" customHeight="1">
      <c r="B419" s="51" t="s">
        <v>69</v>
      </c>
      <c r="C419" s="55" t="e">
        <f>VLOOKUP(Exam_18,AverageScores,b6_descriptive,FALSE)</f>
        <v>#DIV/0!</v>
      </c>
      <c r="D419" s="55" t="e">
        <f>VLOOKUP(Exam_18,AverageScores,b6_descriptive,FALSE)</f>
        <v>#DIV/0!</v>
      </c>
      <c r="E419" s="55" t="e">
        <f>VLOOKUP(Exam_18,AverageScores,b6_descriptive,FALSE)</f>
        <v>#DIV/0!</v>
      </c>
      <c r="F419" s="55" t="e">
        <f>VLOOKUP(Exam_18,AverageScores,b6_descriptive,FALSE)</f>
        <v>#DIV/0!</v>
      </c>
      <c r="G419" s="55" t="e">
        <f>VLOOKUP(Exam_18,AverageScores,b6_descriptive,FALSE)</f>
        <v>#DIV/0!</v>
      </c>
    </row>
    <row r="420" spans="2:7" ht="13.5" customHeight="1">
      <c r="B420" s="51" t="s">
        <v>64</v>
      </c>
      <c r="C420" s="55" t="e">
        <f>VLOOKUP(Exam_18,AverageScores,b6_feedback,FALSE)</f>
        <v>#DIV/0!</v>
      </c>
      <c r="D420" s="55" t="e">
        <f>VLOOKUP(Exam_18,AverageScores,b6_feedback,FALSE)</f>
        <v>#DIV/0!</v>
      </c>
      <c r="E420" s="55" t="e">
        <f>VLOOKUP(Exam_18,AverageScores,b6_feedback,FALSE)</f>
        <v>#DIV/0!</v>
      </c>
      <c r="F420" s="55" t="e">
        <f>VLOOKUP(Exam_18,AverageScores,b6_feedback,FALSE)</f>
        <v>#DIV/0!</v>
      </c>
      <c r="G420" s="55" t="e">
        <f>VLOOKUP(Exam_18,AverageScores,b6_feedback,FALSE)</f>
        <v>#DIV/0!</v>
      </c>
    </row>
    <row r="421" spans="2:7" ht="13.5" customHeight="1">
      <c r="B421" s="51" t="s">
        <v>65</v>
      </c>
      <c r="C421" s="55" t="e">
        <f>VLOOKUP(Exam_18,AverageScores,b6_completeness,FALSE)</f>
        <v>#DIV/0!</v>
      </c>
      <c r="D421" s="55" t="e">
        <f>VLOOKUP(Exam_18,AverageScores,b6_completeness,FALSE)</f>
        <v>#DIV/0!</v>
      </c>
      <c r="E421" s="55" t="e">
        <f>VLOOKUP(Exam_18,AverageScores,b6_completeness,FALSE)</f>
        <v>#DIV/0!</v>
      </c>
      <c r="F421" s="55" t="e">
        <f>VLOOKUP(Exam_18,AverageScores,b6_completeness,FALSE)</f>
        <v>#DIV/0!</v>
      </c>
      <c r="G421" s="55" t="e">
        <f>VLOOKUP(Exam_18,AverageScores,b6_completeness,FALSE)</f>
        <v>#DIV/0!</v>
      </c>
    </row>
    <row r="422" spans="2:7" ht="13.5" customHeight="1">
      <c r="B422" s="51" t="s">
        <v>66</v>
      </c>
      <c r="C422" s="55">
        <f>VLOOKUP(Exam_18,ScoringAccuracyTable,b6_accuracy,FALSE)</f>
      </c>
      <c r="D422" s="55">
        <f>VLOOKUP(Exam_18,ScoringAccuracyTable,b6_accuracy,FALSE)</f>
      </c>
      <c r="E422" s="55">
        <f>VLOOKUP(Exam_18,ScoringAccuracyTable,b6_accuracy,FALSE)</f>
      </c>
      <c r="F422" s="55">
        <f>VLOOKUP(Exam_18,ScoringAccuracyTable,b6_accuracy,FALSE)</f>
      </c>
      <c r="G422" s="55">
        <f>VLOOKUP(Exam_18,ScoringAccuracyTable,b6_accuracy,FALSE)</f>
      </c>
    </row>
    <row r="425" spans="1:7" ht="13.5" customHeight="1">
      <c r="A425" s="131" t="s">
        <v>18</v>
      </c>
      <c r="B425" s="243" t="s">
        <v>70</v>
      </c>
      <c r="C425" s="243"/>
      <c r="D425" s="243"/>
      <c r="E425" s="243"/>
      <c r="F425" s="243"/>
      <c r="G425" s="243"/>
    </row>
    <row r="426" spans="1:7" ht="13.5" customHeight="1">
      <c r="A426" s="132">
        <f>Exam_19</f>
        <v>19</v>
      </c>
      <c r="B426" s="244"/>
      <c r="C426" s="244"/>
      <c r="D426" s="244"/>
      <c r="E426" s="244"/>
      <c r="F426" s="244"/>
      <c r="G426" s="244"/>
    </row>
    <row r="427" spans="2:7" ht="13.5" customHeight="1">
      <c r="B427" s="50" t="s">
        <v>68</v>
      </c>
      <c r="C427" s="54" t="s">
        <v>58</v>
      </c>
      <c r="D427" s="54" t="s">
        <v>59</v>
      </c>
      <c r="E427" s="54" t="s">
        <v>60</v>
      </c>
      <c r="F427" s="54" t="s">
        <v>61</v>
      </c>
      <c r="G427" s="54" t="s">
        <v>62</v>
      </c>
    </row>
    <row r="428" spans="2:7" ht="13.5" customHeight="1">
      <c r="B428" s="51" t="s">
        <v>63</v>
      </c>
      <c r="C428" s="55" t="e">
        <f>0.2*AVERAGE(VLOOKUP(Exam_19,Sum_Accuracy,9,FALSE),VLOOKUP(Exam_19,Sum_Accuracy,10,FALSE))</f>
        <v>#VALUE!</v>
      </c>
      <c r="D428" s="55" t="e">
        <f>0.2*AVERAGE(VLOOKUP(Exam_19,Sum_Accuracy,9,FALSE),VLOOKUP(Exam_19,Sum_Accuracy,10,FALSE))</f>
        <v>#VALUE!</v>
      </c>
      <c r="E428" s="55" t="e">
        <f>0.2*AVERAGE(VLOOKUP(Exam_19,Sum_Accuracy,9,FALSE),VLOOKUP(Exam_19,Sum_Accuracy,10,FALSE))</f>
        <v>#VALUE!</v>
      </c>
      <c r="F428" s="55" t="e">
        <f>0.2*AVERAGE(VLOOKUP(Exam_19,Sum_Accuracy,9,FALSE),VLOOKUP(Exam_19,Sum_Accuracy,10,FALSE))</f>
        <v>#VALUE!</v>
      </c>
      <c r="G428" s="55" t="e">
        <f>0.2*AVERAGE(VLOOKUP(Exam_19,Sum_Accuracy,9,FALSE),VLOOKUP(Exam_19,Sum_Accuracy,10,FALSE))</f>
        <v>#VALUE!</v>
      </c>
    </row>
    <row r="429" spans="2:7" ht="13.5" customHeight="1">
      <c r="B429" s="51" t="s">
        <v>69</v>
      </c>
      <c r="C429" s="55" t="e">
        <f>0.2*AVERAGE(VLOOKUP(Exam_19,Sum_Accuracy,11,FALSE),VLOOKUP(Exam_19,Sum_Accuracy,12,FALSE))</f>
        <v>#VALUE!</v>
      </c>
      <c r="D429" s="55" t="e">
        <f>0.2*AVERAGE(VLOOKUP(Exam_19,Sum_Accuracy,11,FALSE),VLOOKUP(Exam_19,Sum_Accuracy,12,FALSE))</f>
        <v>#VALUE!</v>
      </c>
      <c r="E429" s="55" t="e">
        <f>0.2*AVERAGE(VLOOKUP(Exam_19,Sum_Accuracy,11,FALSE),VLOOKUP(Exam_19,Sum_Accuracy,12,FALSE))</f>
        <v>#VALUE!</v>
      </c>
      <c r="F429" s="55" t="e">
        <f>0.2*AVERAGE(VLOOKUP(Exam_19,Sum_Accuracy,11,FALSE),VLOOKUP(Exam_19,Sum_Accuracy,12,FALSE))</f>
        <v>#VALUE!</v>
      </c>
      <c r="G429" s="55" t="e">
        <f>0.2*AVERAGE(VLOOKUP(Exam_19,Sum_Accuracy,11,FALSE),VLOOKUP(Exam_19,Sum_Accuracy,12,FALSE))</f>
        <v>#VALUE!</v>
      </c>
    </row>
    <row r="430" spans="2:7" ht="13.5" customHeight="1">
      <c r="B430" s="51" t="s">
        <v>64</v>
      </c>
      <c r="C430" s="55" t="e">
        <f>0.2*AVERAGE(VLOOKUP(Exam_19,Sum_Accuracy,13,FALSE),VLOOKUP(Exam_19,Sum_Accuracy,14,FALSE))</f>
        <v>#VALUE!</v>
      </c>
      <c r="D430" s="55" t="e">
        <f>0.2*AVERAGE(VLOOKUP(Exam_19,Sum_Accuracy,13,FALSE),VLOOKUP(Exam_19,Sum_Accuracy,14,FALSE))</f>
        <v>#VALUE!</v>
      </c>
      <c r="E430" s="55" t="e">
        <f>0.2*AVERAGE(VLOOKUP(Exam_19,Sum_Accuracy,13,FALSE),VLOOKUP(Exam_19,Sum_Accuracy,14,FALSE))</f>
        <v>#VALUE!</v>
      </c>
      <c r="F430" s="55" t="e">
        <f>0.2*AVERAGE(VLOOKUP(Exam_19,Sum_Accuracy,13,FALSE),VLOOKUP(Exam_19,Sum_Accuracy,14,FALSE))</f>
        <v>#VALUE!</v>
      </c>
      <c r="G430" s="55" t="e">
        <f>0.2*AVERAGE(VLOOKUP(Exam_19,Sum_Accuracy,13,FALSE),VLOOKUP(Exam_19,Sum_Accuracy,14,FALSE))</f>
        <v>#VALUE!</v>
      </c>
    </row>
    <row r="431" spans="2:7" ht="13.5" customHeight="1">
      <c r="B431" s="51" t="s">
        <v>65</v>
      </c>
      <c r="C431" s="55" t="e">
        <f>0.2*AVERAGE(VLOOKUP(Exam_19,Sum_Accuracy,15,FALSE),VLOOKUP(Exam_19,Sum_Accuracy,16,FALSE))</f>
        <v>#VALUE!</v>
      </c>
      <c r="D431" s="55" t="e">
        <f>0.2*AVERAGE(VLOOKUP(Exam_19,Sum_Accuracy,15,FALSE),VLOOKUP(Exam_19,Sum_Accuracy,16,FALSE))</f>
        <v>#VALUE!</v>
      </c>
      <c r="E431" s="55" t="e">
        <f>0.2*AVERAGE(VLOOKUP(Exam_19,Sum_Accuracy,15,FALSE),VLOOKUP(Exam_19,Sum_Accuracy,16,FALSE))</f>
        <v>#VALUE!</v>
      </c>
      <c r="F431" s="55" t="e">
        <f>0.2*AVERAGE(VLOOKUP(Exam_19,Sum_Accuracy,15,FALSE),VLOOKUP(Exam_19,Sum_Accuracy,16,FALSE))</f>
        <v>#VALUE!</v>
      </c>
      <c r="G431" s="55" t="e">
        <f>0.2*AVERAGE(VLOOKUP(Exam_19,Sum_Accuracy,15,FALSE),VLOOKUP(Exam_19,Sum_Accuracy,16,FALSE))</f>
        <v>#VALUE!</v>
      </c>
    </row>
    <row r="432" spans="2:7" ht="13.5" customHeight="1">
      <c r="B432" s="51" t="s">
        <v>66</v>
      </c>
      <c r="C432" s="55" t="e">
        <f>VLOOKUP(Exam_19,Sum_Accuracy,8,FALSE)/5</f>
        <v>#VALUE!</v>
      </c>
      <c r="D432" s="55" t="e">
        <f>VLOOKUP(Exam_19,Sum_Accuracy,8,FALSE)/5</f>
        <v>#VALUE!</v>
      </c>
      <c r="E432" s="55" t="e">
        <f>VLOOKUP(Exam_19,Sum_Accuracy,8,FALSE)/5</f>
        <v>#VALUE!</v>
      </c>
      <c r="F432" s="55" t="e">
        <f>VLOOKUP(Exam_19,Sum_Accuracy,8,FALSE)/5</f>
        <v>#VALUE!</v>
      </c>
      <c r="G432" s="55" t="e">
        <f>VLOOKUP(Exam_19,Sum_Accuracy,8,FALSE)/5</f>
        <v>#VALUE!</v>
      </c>
    </row>
    <row r="433" spans="2:7" ht="13.5" customHeight="1">
      <c r="B433" s="241"/>
      <c r="C433" s="241"/>
      <c r="D433" s="241"/>
      <c r="E433" s="241"/>
      <c r="F433" s="241"/>
      <c r="G433" s="241"/>
    </row>
    <row r="435" spans="2:7" ht="13.5" customHeight="1">
      <c r="B435" s="245" t="s">
        <v>67</v>
      </c>
      <c r="C435" s="245"/>
      <c r="D435" s="245"/>
      <c r="E435" s="245"/>
      <c r="F435" s="245"/>
      <c r="G435" s="245"/>
    </row>
    <row r="436" spans="2:7" ht="13.5" customHeight="1">
      <c r="B436" s="246"/>
      <c r="C436" s="246"/>
      <c r="D436" s="246"/>
      <c r="E436" s="246"/>
      <c r="F436" s="246"/>
      <c r="G436" s="246"/>
    </row>
    <row r="437" spans="2:7" ht="13.5" customHeight="1">
      <c r="B437" s="52" t="s">
        <v>71</v>
      </c>
      <c r="C437" s="242" t="str">
        <f>BeerName1</f>
        <v>Style1</v>
      </c>
      <c r="D437" s="242"/>
      <c r="E437" s="242"/>
      <c r="F437" s="242"/>
      <c r="G437" s="242"/>
    </row>
    <row r="438" spans="2:7" ht="13.5" customHeight="1">
      <c r="B438" s="241"/>
      <c r="C438" s="241"/>
      <c r="D438" s="241"/>
      <c r="E438" s="241"/>
      <c r="F438" s="241"/>
      <c r="G438" s="241"/>
    </row>
    <row r="439" spans="2:7" ht="13.5" customHeight="1">
      <c r="B439" s="50" t="s">
        <v>68</v>
      </c>
      <c r="C439" s="54" t="s">
        <v>58</v>
      </c>
      <c r="D439" s="54" t="s">
        <v>59</v>
      </c>
      <c r="E439" s="54" t="s">
        <v>60</v>
      </c>
      <c r="F439" s="54" t="s">
        <v>61</v>
      </c>
      <c r="G439" s="54" t="s">
        <v>62</v>
      </c>
    </row>
    <row r="440" spans="2:7" ht="13.5" customHeight="1">
      <c r="B440" s="51" t="s">
        <v>63</v>
      </c>
      <c r="C440" s="55" t="e">
        <f>VLOOKUP(Exam_19,AverageScores,b1_perception,FALSE)</f>
        <v>#DIV/0!</v>
      </c>
      <c r="D440" s="55" t="e">
        <f>VLOOKUP(Exam_19,AverageScores,b1_perception,FALSE)</f>
        <v>#DIV/0!</v>
      </c>
      <c r="E440" s="55" t="e">
        <f>VLOOKUP(Exam_19,AverageScores,b1_perception,FALSE)</f>
        <v>#DIV/0!</v>
      </c>
      <c r="F440" s="55" t="e">
        <f>VLOOKUP(Exam_19,AverageScores,b1_perception,FALSE)</f>
        <v>#DIV/0!</v>
      </c>
      <c r="G440" s="55" t="e">
        <f>VLOOKUP(Exam_19,AverageScores,b1_perception,FALSE)</f>
        <v>#DIV/0!</v>
      </c>
    </row>
    <row r="441" spans="2:7" ht="13.5" customHeight="1">
      <c r="B441" s="51" t="s">
        <v>69</v>
      </c>
      <c r="C441" s="55" t="e">
        <f>VLOOKUP(Exam_19,AverageScores,b1_descriptive,FALSE)</f>
        <v>#DIV/0!</v>
      </c>
      <c r="D441" s="55" t="e">
        <f>VLOOKUP(Exam_19,AverageScores,b1_descriptive,FALSE)</f>
        <v>#DIV/0!</v>
      </c>
      <c r="E441" s="55" t="e">
        <f>VLOOKUP(Exam_19,AverageScores,b1_descriptive,FALSE)</f>
        <v>#DIV/0!</v>
      </c>
      <c r="F441" s="55" t="e">
        <f>VLOOKUP(Exam_19,AverageScores,b1_descriptive,FALSE)</f>
        <v>#DIV/0!</v>
      </c>
      <c r="G441" s="55" t="e">
        <f>VLOOKUP(Exam_19,AverageScores,b1_descriptive,FALSE)</f>
        <v>#DIV/0!</v>
      </c>
    </row>
    <row r="442" spans="2:7" ht="13.5" customHeight="1">
      <c r="B442" s="51" t="s">
        <v>64</v>
      </c>
      <c r="C442" s="55" t="e">
        <f>VLOOKUP(Exam_19,AverageScores,b1_feedback,FALSE)</f>
        <v>#DIV/0!</v>
      </c>
      <c r="D442" s="55" t="e">
        <f>VLOOKUP(Exam_19,AverageScores,b1_feedback,FALSE)</f>
        <v>#DIV/0!</v>
      </c>
      <c r="E442" s="55" t="e">
        <f>VLOOKUP(Exam_19,AverageScores,b1_feedback,FALSE)</f>
        <v>#DIV/0!</v>
      </c>
      <c r="F442" s="55" t="e">
        <f>VLOOKUP(Exam_19,AverageScores,b1_feedback,FALSE)</f>
        <v>#DIV/0!</v>
      </c>
      <c r="G442" s="55" t="e">
        <f>VLOOKUP(Exam_19,AverageScores,b1_feedback,FALSE)</f>
        <v>#DIV/0!</v>
      </c>
    </row>
    <row r="443" spans="2:7" ht="13.5" customHeight="1">
      <c r="B443" s="51" t="s">
        <v>65</v>
      </c>
      <c r="C443" s="55" t="e">
        <f>VLOOKUP(Exam_19,AverageScores,b1_completeness,FALSE)</f>
        <v>#DIV/0!</v>
      </c>
      <c r="D443" s="55" t="e">
        <f>VLOOKUP(Exam_19,AverageScores,b1_completeness,FALSE)</f>
        <v>#DIV/0!</v>
      </c>
      <c r="E443" s="55" t="e">
        <f>VLOOKUP(Exam_19,AverageScores,b1_completeness,FALSE)</f>
        <v>#DIV/0!</v>
      </c>
      <c r="F443" s="55" t="e">
        <f>VLOOKUP(Exam_19,AverageScores,b1_completeness,FALSE)</f>
        <v>#DIV/0!</v>
      </c>
      <c r="G443" s="55" t="e">
        <f>VLOOKUP(Exam_19,AverageScores,b1_completeness,FALSE)</f>
        <v>#DIV/0!</v>
      </c>
    </row>
    <row r="444" spans="2:7" ht="13.5" customHeight="1">
      <c r="B444" s="51" t="s">
        <v>66</v>
      </c>
      <c r="C444" s="55">
        <f>VLOOKUP(Exam_19,ScoringAccuracyTable,b1_accuracy,FALSE)</f>
      </c>
      <c r="D444" s="55">
        <f>VLOOKUP(Exam_19,ScoringAccuracyTable,b1_accuracy,FALSE)</f>
      </c>
      <c r="E444" s="55">
        <f>VLOOKUP(Exam_19,ScoringAccuracyTable,b1_accuracy,FALSE)</f>
      </c>
      <c r="F444" s="55">
        <f>VLOOKUP(Exam_19,ScoringAccuracyTable,b1_accuracy,FALSE)</f>
      </c>
      <c r="G444" s="55">
        <f>VLOOKUP(Exam_19,ScoringAccuracyTable,b1_accuracy,FALSE)</f>
      </c>
    </row>
    <row r="445" spans="2:7" ht="13.5" customHeight="1">
      <c r="B445" s="241"/>
      <c r="C445" s="241"/>
      <c r="D445" s="241"/>
      <c r="E445" s="241"/>
      <c r="F445" s="241"/>
      <c r="G445" s="241"/>
    </row>
    <row r="446" spans="2:7" ht="13.5" customHeight="1">
      <c r="B446" s="52" t="s">
        <v>72</v>
      </c>
      <c r="C446" s="242" t="str">
        <f>BeerName2</f>
        <v>Style2</v>
      </c>
      <c r="D446" s="242"/>
      <c r="E446" s="242"/>
      <c r="F446" s="242"/>
      <c r="G446" s="242"/>
    </row>
    <row r="447" spans="2:7" ht="13.5" customHeight="1">
      <c r="B447" s="247"/>
      <c r="C447" s="247"/>
      <c r="D447" s="247"/>
      <c r="E447" s="247"/>
      <c r="F447" s="247"/>
      <c r="G447" s="247"/>
    </row>
    <row r="448" spans="2:7" ht="13.5" customHeight="1">
      <c r="B448" s="50" t="s">
        <v>68</v>
      </c>
      <c r="C448" s="54" t="s">
        <v>58</v>
      </c>
      <c r="D448" s="56" t="s">
        <v>59</v>
      </c>
      <c r="E448" s="56" t="s">
        <v>60</v>
      </c>
      <c r="F448" s="56" t="s">
        <v>61</v>
      </c>
      <c r="G448" s="56" t="s">
        <v>62</v>
      </c>
    </row>
    <row r="449" spans="2:7" ht="13.5" customHeight="1">
      <c r="B449" s="51" t="s">
        <v>63</v>
      </c>
      <c r="C449" s="55" t="e">
        <f>VLOOKUP(Exam_19,AverageScores,b2_perceptive,FALSE)</f>
        <v>#DIV/0!</v>
      </c>
      <c r="D449" s="55" t="e">
        <f>VLOOKUP(Exam_19,AverageScores,b2_perceptive,FALSE)</f>
        <v>#DIV/0!</v>
      </c>
      <c r="E449" s="55" t="e">
        <f>VLOOKUP(Exam_19,AverageScores,b2_perceptive,FALSE)</f>
        <v>#DIV/0!</v>
      </c>
      <c r="F449" s="55" t="e">
        <f>VLOOKUP(Exam_19,AverageScores,b2_perceptive,FALSE)</f>
        <v>#DIV/0!</v>
      </c>
      <c r="G449" s="55" t="e">
        <f>VLOOKUP(Exam_19,AverageScores,b2_perceptive,FALSE)</f>
        <v>#DIV/0!</v>
      </c>
    </row>
    <row r="450" spans="2:7" ht="13.5" customHeight="1">
      <c r="B450" s="51" t="s">
        <v>69</v>
      </c>
      <c r="C450" s="55" t="e">
        <f>VLOOKUP(Exam_19,AverageScores,b2_descriptive,FALSE)</f>
        <v>#DIV/0!</v>
      </c>
      <c r="D450" s="55" t="e">
        <f>VLOOKUP(Exam_19,AverageScores,b2_descriptive,FALSE)</f>
        <v>#DIV/0!</v>
      </c>
      <c r="E450" s="55" t="e">
        <f>VLOOKUP(Exam_19,AverageScores,b2_descriptive,FALSE)</f>
        <v>#DIV/0!</v>
      </c>
      <c r="F450" s="55" t="e">
        <f>VLOOKUP(Exam_19,AverageScores,b2_descriptive,FALSE)</f>
        <v>#DIV/0!</v>
      </c>
      <c r="G450" s="55" t="e">
        <f>VLOOKUP(Exam_19,AverageScores,b2_descriptive,FALSE)</f>
        <v>#DIV/0!</v>
      </c>
    </row>
    <row r="451" spans="2:7" ht="13.5" customHeight="1">
      <c r="B451" s="51" t="s">
        <v>64</v>
      </c>
      <c r="C451" s="55" t="e">
        <f>VLOOKUP(Exam_19,AverageScores,b2_feedback,FALSE)</f>
        <v>#DIV/0!</v>
      </c>
      <c r="D451" s="55" t="e">
        <f>VLOOKUP(Exam_19,AverageScores,b2_feedback,FALSE)</f>
        <v>#DIV/0!</v>
      </c>
      <c r="E451" s="55" t="e">
        <f>VLOOKUP(Exam_19,AverageScores,b2_feedback,FALSE)</f>
        <v>#DIV/0!</v>
      </c>
      <c r="F451" s="55" t="e">
        <f>VLOOKUP(Exam_19,AverageScores,b2_feedback,FALSE)</f>
        <v>#DIV/0!</v>
      </c>
      <c r="G451" s="55" t="e">
        <f>VLOOKUP(Exam_19,AverageScores,b2_feedback,FALSE)</f>
        <v>#DIV/0!</v>
      </c>
    </row>
    <row r="452" spans="2:7" ht="13.5" customHeight="1">
      <c r="B452" s="51" t="s">
        <v>65</v>
      </c>
      <c r="C452" s="55" t="e">
        <f>VLOOKUP(Exam_19,AverageScores,b2_completeness,FALSE)</f>
        <v>#DIV/0!</v>
      </c>
      <c r="D452" s="55" t="e">
        <f>VLOOKUP(Exam_19,AverageScores,b2_completeness,FALSE)</f>
        <v>#DIV/0!</v>
      </c>
      <c r="E452" s="55" t="e">
        <f>VLOOKUP(Exam_19,AverageScores,b2_completeness,FALSE)</f>
        <v>#DIV/0!</v>
      </c>
      <c r="F452" s="55" t="e">
        <f>VLOOKUP(Exam_19,AverageScores,b2_completeness,FALSE)</f>
        <v>#DIV/0!</v>
      </c>
      <c r="G452" s="55" t="e">
        <f>VLOOKUP(Exam_19,AverageScores,b2_completeness,FALSE)</f>
        <v>#DIV/0!</v>
      </c>
    </row>
    <row r="453" spans="2:7" ht="13.5" customHeight="1">
      <c r="B453" s="51" t="s">
        <v>66</v>
      </c>
      <c r="C453" s="55">
        <f>VLOOKUP(Exam_19,ScoringAccuracyTable,b2_accuracy,FALSE)</f>
      </c>
      <c r="D453" s="55">
        <f>VLOOKUP(Exam_19,ScoringAccuracyTable,b2_accuracy,FALSE)</f>
      </c>
      <c r="E453" s="55">
        <f>VLOOKUP(Exam_19,ScoringAccuracyTable,b2_accuracy,FALSE)</f>
      </c>
      <c r="F453" s="55">
        <f>VLOOKUP(Exam_19,ScoringAccuracyTable,b2_accuracy,FALSE)</f>
      </c>
      <c r="G453" s="55">
        <f>VLOOKUP(Exam_19,ScoringAccuracyTable,b2_accuracy,FALSE)</f>
      </c>
    </row>
    <row r="454" spans="2:7" ht="13.5" customHeight="1">
      <c r="B454" s="241"/>
      <c r="C454" s="241"/>
      <c r="D454" s="241"/>
      <c r="E454" s="241"/>
      <c r="F454" s="241"/>
      <c r="G454" s="241"/>
    </row>
    <row r="455" spans="2:7" ht="13.5" customHeight="1">
      <c r="B455" s="52" t="s">
        <v>76</v>
      </c>
      <c r="C455" s="242" t="str">
        <f>BeerName3</f>
        <v>Style3</v>
      </c>
      <c r="D455" s="242"/>
      <c r="E455" s="242"/>
      <c r="F455" s="242"/>
      <c r="G455" s="242"/>
    </row>
    <row r="456" spans="2:7" ht="13.5" customHeight="1">
      <c r="B456" s="247"/>
      <c r="C456" s="247"/>
      <c r="D456" s="247"/>
      <c r="E456" s="247"/>
      <c r="F456" s="247"/>
      <c r="G456" s="247"/>
    </row>
    <row r="457" spans="2:7" ht="13.5" customHeight="1">
      <c r="B457" s="50" t="s">
        <v>68</v>
      </c>
      <c r="C457" s="54" t="s">
        <v>58</v>
      </c>
      <c r="D457" s="54" t="s">
        <v>59</v>
      </c>
      <c r="E457" s="54" t="s">
        <v>60</v>
      </c>
      <c r="F457" s="54" t="s">
        <v>61</v>
      </c>
      <c r="G457" s="54" t="s">
        <v>62</v>
      </c>
    </row>
    <row r="458" spans="2:7" ht="13.5" customHeight="1">
      <c r="B458" s="51" t="s">
        <v>63</v>
      </c>
      <c r="C458" s="55" t="e">
        <f>VLOOKUP(Exam_19,AverageScores,b3_perception,FALSE)</f>
        <v>#DIV/0!</v>
      </c>
      <c r="D458" s="55" t="e">
        <f>VLOOKUP(Exam_19,AverageScores,b3_perception,FALSE)</f>
        <v>#DIV/0!</v>
      </c>
      <c r="E458" s="55" t="e">
        <f>VLOOKUP(Exam_19,AverageScores,b3_perception,FALSE)</f>
        <v>#DIV/0!</v>
      </c>
      <c r="F458" s="55" t="e">
        <f>VLOOKUP(Exam_19,AverageScores,b3_perception,FALSE)</f>
        <v>#DIV/0!</v>
      </c>
      <c r="G458" s="55" t="e">
        <f>VLOOKUP(Exam_19,AverageScores,b3_perception,FALSE)</f>
        <v>#DIV/0!</v>
      </c>
    </row>
    <row r="459" spans="2:7" ht="13.5" customHeight="1">
      <c r="B459" s="51" t="s">
        <v>69</v>
      </c>
      <c r="C459" s="55" t="e">
        <f>VLOOKUP(Exam_19,AverageScores,b3_descriptive,FALSE)</f>
        <v>#DIV/0!</v>
      </c>
      <c r="D459" s="55" t="e">
        <f>VLOOKUP(Exam_19,AverageScores,b3_descriptive,FALSE)</f>
        <v>#DIV/0!</v>
      </c>
      <c r="E459" s="55" t="e">
        <f>VLOOKUP(Exam_19,AverageScores,b3_descriptive,FALSE)</f>
        <v>#DIV/0!</v>
      </c>
      <c r="F459" s="55" t="e">
        <f>VLOOKUP(Exam_19,AverageScores,b3_descriptive,FALSE)</f>
        <v>#DIV/0!</v>
      </c>
      <c r="G459" s="55" t="e">
        <f>VLOOKUP(Exam_19,AverageScores,b3_descriptive,FALSE)</f>
        <v>#DIV/0!</v>
      </c>
    </row>
    <row r="460" spans="2:7" ht="13.5" customHeight="1">
      <c r="B460" s="51" t="s">
        <v>64</v>
      </c>
      <c r="C460" s="55" t="e">
        <f>VLOOKUP(Exam_19,AverageScores,b3_feedback,FALSE)</f>
        <v>#DIV/0!</v>
      </c>
      <c r="D460" s="55" t="e">
        <f>VLOOKUP(Exam_19,AverageScores,b3_feedback,FALSE)</f>
        <v>#DIV/0!</v>
      </c>
      <c r="E460" s="55" t="e">
        <f>VLOOKUP(Exam_19,AverageScores,b3_feedback,FALSE)</f>
        <v>#DIV/0!</v>
      </c>
      <c r="F460" s="55" t="e">
        <f>VLOOKUP(Exam_19,AverageScores,b3_feedback,FALSE)</f>
        <v>#DIV/0!</v>
      </c>
      <c r="G460" s="55" t="e">
        <f>VLOOKUP(Exam_19,AverageScores,b3_feedback,FALSE)</f>
        <v>#DIV/0!</v>
      </c>
    </row>
    <row r="461" spans="2:7" ht="13.5" customHeight="1">
      <c r="B461" s="51" t="s">
        <v>65</v>
      </c>
      <c r="C461" s="55" t="e">
        <f>VLOOKUP(Exam_19,AverageScores,b3_completeness,FALSE)</f>
        <v>#DIV/0!</v>
      </c>
      <c r="D461" s="55" t="e">
        <f>VLOOKUP(Exam_19,AverageScores,b3_completeness,FALSE)</f>
        <v>#DIV/0!</v>
      </c>
      <c r="E461" s="55" t="e">
        <f>VLOOKUP(Exam_19,AverageScores,b3_completeness,FALSE)</f>
        <v>#DIV/0!</v>
      </c>
      <c r="F461" s="55" t="e">
        <f>VLOOKUP(Exam_19,AverageScores,b3_completeness,FALSE)</f>
        <v>#DIV/0!</v>
      </c>
      <c r="G461" s="55" t="e">
        <f>VLOOKUP(Exam_19,AverageScores,b3_completeness,FALSE)</f>
        <v>#DIV/0!</v>
      </c>
    </row>
    <row r="462" spans="2:7" ht="13.5" customHeight="1">
      <c r="B462" s="51" t="s">
        <v>66</v>
      </c>
      <c r="C462" s="55">
        <f>VLOOKUP(Exam_19,ScoringAccuracyTable,b3_accuracy,FALSE)</f>
      </c>
      <c r="D462" s="55">
        <f>VLOOKUP(Exam_19,ScoringAccuracyTable,b3_accuracy,FALSE)</f>
      </c>
      <c r="E462" s="55">
        <f>VLOOKUP(Exam_19,ScoringAccuracyTable,b3_accuracy,FALSE)</f>
      </c>
      <c r="F462" s="55">
        <f>VLOOKUP(Exam_19,ScoringAccuracyTable,b3_accuracy,FALSE)</f>
      </c>
      <c r="G462" s="55">
        <f>VLOOKUP(Exam_19,ScoringAccuracyTable,b3_accuracy,FALSE)</f>
      </c>
    </row>
    <row r="463" spans="2:7" ht="13.5" customHeight="1">
      <c r="B463" s="241"/>
      <c r="C463" s="241"/>
      <c r="D463" s="241"/>
      <c r="E463" s="241"/>
      <c r="F463" s="241"/>
      <c r="G463" s="241"/>
    </row>
    <row r="464" spans="2:7" ht="13.5" customHeight="1">
      <c r="B464" s="52" t="s">
        <v>75</v>
      </c>
      <c r="C464" s="242" t="str">
        <f>BeerName4</f>
        <v>Style4</v>
      </c>
      <c r="D464" s="242"/>
      <c r="E464" s="242"/>
      <c r="F464" s="242"/>
      <c r="G464" s="242"/>
    </row>
    <row r="465" spans="2:7" ht="13.5" customHeight="1">
      <c r="B465" s="241"/>
      <c r="C465" s="241"/>
      <c r="D465" s="241"/>
      <c r="E465" s="241"/>
      <c r="F465" s="241"/>
      <c r="G465" s="241"/>
    </row>
    <row r="466" spans="2:7" ht="13.5" customHeight="1">
      <c r="B466" s="50" t="s">
        <v>68</v>
      </c>
      <c r="C466" s="54" t="s">
        <v>58</v>
      </c>
      <c r="D466" s="54" t="s">
        <v>59</v>
      </c>
      <c r="E466" s="54" t="s">
        <v>60</v>
      </c>
      <c r="F466" s="54" t="s">
        <v>61</v>
      </c>
      <c r="G466" s="54" t="s">
        <v>62</v>
      </c>
    </row>
    <row r="467" spans="2:7" ht="13.5" customHeight="1">
      <c r="B467" s="51" t="s">
        <v>63</v>
      </c>
      <c r="C467" s="55" t="e">
        <f>VLOOKUP(Exam_19,AverageScores,b4_perception,FALSE)</f>
        <v>#DIV/0!</v>
      </c>
      <c r="D467" s="55" t="e">
        <f>VLOOKUP(Exam_19,AverageScores,b4_perception,FALSE)</f>
        <v>#DIV/0!</v>
      </c>
      <c r="E467" s="55" t="e">
        <f>VLOOKUP(Exam_19,AverageScores,b4_perception,FALSE)</f>
        <v>#DIV/0!</v>
      </c>
      <c r="F467" s="55" t="e">
        <f>VLOOKUP(Exam_19,AverageScores,b4_perception,FALSE)</f>
        <v>#DIV/0!</v>
      </c>
      <c r="G467" s="55" t="e">
        <f>VLOOKUP(Exam_19,AverageScores,b4_perception,FALSE)</f>
        <v>#DIV/0!</v>
      </c>
    </row>
    <row r="468" spans="2:7" ht="13.5" customHeight="1">
      <c r="B468" s="51" t="s">
        <v>69</v>
      </c>
      <c r="C468" s="55" t="e">
        <f>VLOOKUP(Exam_19,AverageScores,b4_descriptive,FALSE)</f>
        <v>#DIV/0!</v>
      </c>
      <c r="D468" s="55" t="e">
        <f>VLOOKUP(Exam_19,AverageScores,b4_descriptive,FALSE)</f>
        <v>#DIV/0!</v>
      </c>
      <c r="E468" s="55" t="e">
        <f>VLOOKUP(Exam_19,AverageScores,b4_descriptive,FALSE)</f>
        <v>#DIV/0!</v>
      </c>
      <c r="F468" s="55" t="e">
        <f>VLOOKUP(Exam_19,AverageScores,b4_descriptive,FALSE)</f>
        <v>#DIV/0!</v>
      </c>
      <c r="G468" s="55" t="e">
        <f>VLOOKUP(Exam_19,AverageScores,b4_descriptive,FALSE)</f>
        <v>#DIV/0!</v>
      </c>
    </row>
    <row r="469" spans="2:7" ht="13.5" customHeight="1">
      <c r="B469" s="51" t="s">
        <v>64</v>
      </c>
      <c r="C469" s="55" t="e">
        <f>VLOOKUP(Exam_19,AverageScores,b4_feedback,FALSE)</f>
        <v>#DIV/0!</v>
      </c>
      <c r="D469" s="55" t="e">
        <f>VLOOKUP(Exam_19,AverageScores,b4_feedback,FALSE)</f>
        <v>#DIV/0!</v>
      </c>
      <c r="E469" s="55" t="e">
        <f>VLOOKUP(Exam_19,AverageScores,b4_feedback,FALSE)</f>
        <v>#DIV/0!</v>
      </c>
      <c r="F469" s="55" t="e">
        <f>VLOOKUP(Exam_19,AverageScores,b4_feedback,FALSE)</f>
        <v>#DIV/0!</v>
      </c>
      <c r="G469" s="55" t="e">
        <f>VLOOKUP(Exam_19,AverageScores,b4_feedback,FALSE)</f>
        <v>#DIV/0!</v>
      </c>
    </row>
    <row r="470" spans="2:7" ht="13.5" customHeight="1">
      <c r="B470" s="51" t="s">
        <v>65</v>
      </c>
      <c r="C470" s="55" t="e">
        <f>VLOOKUP(Exam_19,AverageScores,b4_completeness,FALSE)</f>
        <v>#DIV/0!</v>
      </c>
      <c r="D470" s="55" t="e">
        <f>VLOOKUP(Exam_19,AverageScores,b4_completeness,FALSE)</f>
        <v>#DIV/0!</v>
      </c>
      <c r="E470" s="55" t="e">
        <f>VLOOKUP(Exam_19,AverageScores,b4_completeness,FALSE)</f>
        <v>#DIV/0!</v>
      </c>
      <c r="F470" s="55" t="e">
        <f>VLOOKUP(Exam_19,AverageScores,b4_completeness,FALSE)</f>
        <v>#DIV/0!</v>
      </c>
      <c r="G470" s="55" t="e">
        <f>VLOOKUP(Exam_19,AverageScores,b4_completeness,FALSE)</f>
        <v>#DIV/0!</v>
      </c>
    </row>
    <row r="471" spans="2:7" ht="13.5" customHeight="1">
      <c r="B471" s="51" t="s">
        <v>66</v>
      </c>
      <c r="C471" s="55">
        <f>VLOOKUP(Exam_19,ScoringAccuracyTable,b4_accuracy,FALSE)</f>
      </c>
      <c r="D471" s="55">
        <f>VLOOKUP(Exam_19,ScoringAccuracyTable,b4_accuracy,FALSE)</f>
      </c>
      <c r="E471" s="55">
        <f>VLOOKUP(Exam_19,ScoringAccuracyTable,b4_accuracy,FALSE)</f>
      </c>
      <c r="F471" s="55">
        <f>VLOOKUP(Exam_19,ScoringAccuracyTable,b4_accuracy,FALSE)</f>
      </c>
      <c r="G471" s="55">
        <f>VLOOKUP(Exam_19,ScoringAccuracyTable,b4_accuracy,FALSE)</f>
      </c>
    </row>
    <row r="472" spans="2:7" ht="13.5" customHeight="1">
      <c r="B472" s="241"/>
      <c r="C472" s="241"/>
      <c r="D472" s="241"/>
      <c r="E472" s="241"/>
      <c r="F472" s="241"/>
      <c r="G472" s="241"/>
    </row>
    <row r="477" spans="2:7" ht="13.5" customHeight="1">
      <c r="B477" s="52" t="s">
        <v>74</v>
      </c>
      <c r="C477" s="242" t="str">
        <f>BeerName5</f>
        <v>Style5</v>
      </c>
      <c r="D477" s="242"/>
      <c r="E477" s="242"/>
      <c r="F477" s="242"/>
      <c r="G477" s="242"/>
    </row>
    <row r="478" spans="2:7" ht="13.5" customHeight="1">
      <c r="B478" s="241"/>
      <c r="C478" s="241"/>
      <c r="D478" s="241"/>
      <c r="E478" s="241"/>
      <c r="F478" s="241"/>
      <c r="G478" s="241"/>
    </row>
    <row r="479" spans="2:7" ht="13.5" customHeight="1">
      <c r="B479" s="50" t="s">
        <v>68</v>
      </c>
      <c r="C479" s="54" t="s">
        <v>58</v>
      </c>
      <c r="D479" s="54" t="s">
        <v>59</v>
      </c>
      <c r="E479" s="54" t="s">
        <v>60</v>
      </c>
      <c r="F479" s="54" t="s">
        <v>61</v>
      </c>
      <c r="G479" s="54" t="s">
        <v>62</v>
      </c>
    </row>
    <row r="480" spans="2:7" ht="13.5" customHeight="1">
      <c r="B480" s="51" t="s">
        <v>63</v>
      </c>
      <c r="C480" s="55" t="e">
        <f>VLOOKUP(Exam_19,AverageScores,b5_perception,FALSE)</f>
        <v>#DIV/0!</v>
      </c>
      <c r="D480" s="55" t="e">
        <f>VLOOKUP(Exam_19,AverageScores,b5_perception,FALSE)</f>
        <v>#DIV/0!</v>
      </c>
      <c r="E480" s="55" t="e">
        <f>VLOOKUP(Exam_19,AverageScores,b5_perception,FALSE)</f>
        <v>#DIV/0!</v>
      </c>
      <c r="F480" s="55" t="e">
        <f>VLOOKUP(Exam_19,AverageScores,b5_perception,FALSE)</f>
        <v>#DIV/0!</v>
      </c>
      <c r="G480" s="55" t="e">
        <f>VLOOKUP(Exam_19,AverageScores,b5_perception,FALSE)</f>
        <v>#DIV/0!</v>
      </c>
    </row>
    <row r="481" spans="2:7" ht="13.5" customHeight="1">
      <c r="B481" s="51" t="s">
        <v>69</v>
      </c>
      <c r="C481" s="55" t="e">
        <f>VLOOKUP(Exam_19,AverageScores,b5_descriptive,FALSE)</f>
        <v>#DIV/0!</v>
      </c>
      <c r="D481" s="55" t="e">
        <f>VLOOKUP(Exam_19,AverageScores,b5_descriptive,FALSE)</f>
        <v>#DIV/0!</v>
      </c>
      <c r="E481" s="55" t="e">
        <f>VLOOKUP(Exam_19,AverageScores,b5_descriptive,FALSE)</f>
        <v>#DIV/0!</v>
      </c>
      <c r="F481" s="55" t="e">
        <f>VLOOKUP(Exam_19,AverageScores,b5_descriptive,FALSE)</f>
        <v>#DIV/0!</v>
      </c>
      <c r="G481" s="55" t="e">
        <f>VLOOKUP(Exam_19,AverageScores,b5_descriptive,FALSE)</f>
        <v>#DIV/0!</v>
      </c>
    </row>
    <row r="482" spans="2:7" ht="13.5" customHeight="1">
      <c r="B482" s="51" t="s">
        <v>64</v>
      </c>
      <c r="C482" s="55" t="e">
        <f>VLOOKUP(Exam_19,AverageScores,b5_feedback,FALSE)</f>
        <v>#DIV/0!</v>
      </c>
      <c r="D482" s="55" t="e">
        <f>VLOOKUP(Exam_19,AverageScores,b5_feedback,FALSE)</f>
        <v>#DIV/0!</v>
      </c>
      <c r="E482" s="55" t="e">
        <f>VLOOKUP(Exam_19,AverageScores,b5_feedback,FALSE)</f>
        <v>#DIV/0!</v>
      </c>
      <c r="F482" s="55" t="e">
        <f>VLOOKUP(Exam_19,AverageScores,b5_feedback,FALSE)</f>
        <v>#DIV/0!</v>
      </c>
      <c r="G482" s="55" t="e">
        <f>VLOOKUP(Exam_19,AverageScores,b5_feedback,FALSE)</f>
        <v>#DIV/0!</v>
      </c>
    </row>
    <row r="483" spans="2:7" ht="13.5" customHeight="1">
      <c r="B483" s="51" t="s">
        <v>65</v>
      </c>
      <c r="C483" s="55" t="e">
        <f>VLOOKUP(Exam_19,AverageScores,b5_completeness,FALSE)</f>
        <v>#DIV/0!</v>
      </c>
      <c r="D483" s="55" t="e">
        <f>VLOOKUP(Exam_19,AverageScores,b5_completeness,FALSE)</f>
        <v>#DIV/0!</v>
      </c>
      <c r="E483" s="55" t="e">
        <f>VLOOKUP(Exam_19,AverageScores,b5_completeness,FALSE)</f>
        <v>#DIV/0!</v>
      </c>
      <c r="F483" s="55" t="e">
        <f>VLOOKUP(Exam_19,AverageScores,b5_completeness,FALSE)</f>
        <v>#DIV/0!</v>
      </c>
      <c r="G483" s="55" t="e">
        <f>VLOOKUP(Exam_19,AverageScores,b5_completeness,FALSE)</f>
        <v>#DIV/0!</v>
      </c>
    </row>
    <row r="484" spans="2:7" ht="13.5" customHeight="1">
      <c r="B484" s="51" t="s">
        <v>66</v>
      </c>
      <c r="C484" s="55">
        <f>VLOOKUP(Exam_19,ScoringAccuracyTable,b5_accuracy,FALSE)</f>
      </c>
      <c r="D484" s="55">
        <f>VLOOKUP(Exam_19,ScoringAccuracyTable,b5_accuracy,FALSE)</f>
      </c>
      <c r="E484" s="55">
        <f>VLOOKUP(Exam_19,ScoringAccuracyTable,b5_accuracy,FALSE)</f>
      </c>
      <c r="F484" s="55">
        <f>VLOOKUP(Exam_19,ScoringAccuracyTable,b5_accuracy,FALSE)</f>
      </c>
      <c r="G484" s="55">
        <f>VLOOKUP(Exam_19,ScoringAccuracyTable,b5_accuracy,FALSE)</f>
      </c>
    </row>
    <row r="485" spans="2:7" ht="13.5" customHeight="1">
      <c r="B485" s="241"/>
      <c r="C485" s="241"/>
      <c r="D485" s="241"/>
      <c r="E485" s="241"/>
      <c r="F485" s="241"/>
      <c r="G485" s="241"/>
    </row>
    <row r="486" spans="2:7" ht="13.5" customHeight="1">
      <c r="B486" s="52" t="s">
        <v>73</v>
      </c>
      <c r="C486" s="242" t="str">
        <f>BeerName6</f>
        <v>Style6</v>
      </c>
      <c r="D486" s="242"/>
      <c r="E486" s="242"/>
      <c r="F486" s="242"/>
      <c r="G486" s="242"/>
    </row>
    <row r="487" spans="2:7" ht="13.5" customHeight="1">
      <c r="B487" s="241"/>
      <c r="C487" s="241"/>
      <c r="D487" s="241"/>
      <c r="E487" s="241"/>
      <c r="F487" s="241"/>
      <c r="G487" s="241"/>
    </row>
    <row r="488" spans="2:7" ht="13.5" customHeight="1">
      <c r="B488" s="50" t="s">
        <v>68</v>
      </c>
      <c r="C488" s="54" t="s">
        <v>58</v>
      </c>
      <c r="D488" s="54" t="s">
        <v>59</v>
      </c>
      <c r="E488" s="54" t="s">
        <v>60</v>
      </c>
      <c r="F488" s="54" t="s">
        <v>61</v>
      </c>
      <c r="G488" s="54" t="s">
        <v>62</v>
      </c>
    </row>
    <row r="489" spans="2:7" ht="13.5" customHeight="1">
      <c r="B489" s="51" t="s">
        <v>63</v>
      </c>
      <c r="C489" s="55" t="e">
        <f>VLOOKUP(Exam_19,AverageScores,b6_perception,FALSE)</f>
        <v>#DIV/0!</v>
      </c>
      <c r="D489" s="55" t="e">
        <f>VLOOKUP(Exam_19,AverageScores,b6_perception,FALSE)</f>
        <v>#DIV/0!</v>
      </c>
      <c r="E489" s="55" t="e">
        <f>VLOOKUP(Exam_19,AverageScores,b6_perception,FALSE)</f>
        <v>#DIV/0!</v>
      </c>
      <c r="F489" s="55" t="e">
        <f>VLOOKUP(Exam_19,AverageScores,b6_perception,FALSE)</f>
        <v>#DIV/0!</v>
      </c>
      <c r="G489" s="55" t="e">
        <f>VLOOKUP(Exam_19,AverageScores,b6_perception,FALSE)</f>
        <v>#DIV/0!</v>
      </c>
    </row>
    <row r="490" spans="2:7" ht="13.5" customHeight="1">
      <c r="B490" s="51" t="s">
        <v>69</v>
      </c>
      <c r="C490" s="55" t="e">
        <f>VLOOKUP(Exam_19,AverageScores,b6_descriptive,FALSE)</f>
        <v>#DIV/0!</v>
      </c>
      <c r="D490" s="55" t="e">
        <f>VLOOKUP(Exam_19,AverageScores,b6_descriptive,FALSE)</f>
        <v>#DIV/0!</v>
      </c>
      <c r="E490" s="55" t="e">
        <f>VLOOKUP(Exam_19,AverageScores,b6_descriptive,FALSE)</f>
        <v>#DIV/0!</v>
      </c>
      <c r="F490" s="55" t="e">
        <f>VLOOKUP(Exam_19,AverageScores,b6_descriptive,FALSE)</f>
        <v>#DIV/0!</v>
      </c>
      <c r="G490" s="55" t="e">
        <f>VLOOKUP(Exam_19,AverageScores,b6_descriptive,FALSE)</f>
        <v>#DIV/0!</v>
      </c>
    </row>
    <row r="491" spans="2:7" ht="13.5" customHeight="1">
      <c r="B491" s="51" t="s">
        <v>64</v>
      </c>
      <c r="C491" s="55" t="e">
        <f>VLOOKUP(Exam_19,AverageScores,b6_feedback,FALSE)</f>
        <v>#DIV/0!</v>
      </c>
      <c r="D491" s="55" t="e">
        <f>VLOOKUP(Exam_19,AverageScores,b6_feedback,FALSE)</f>
        <v>#DIV/0!</v>
      </c>
      <c r="E491" s="55" t="e">
        <f>VLOOKUP(Exam_19,AverageScores,b6_feedback,FALSE)</f>
        <v>#DIV/0!</v>
      </c>
      <c r="F491" s="55" t="e">
        <f>VLOOKUP(Exam_19,AverageScores,b6_feedback,FALSE)</f>
        <v>#DIV/0!</v>
      </c>
      <c r="G491" s="55" t="e">
        <f>VLOOKUP(Exam_19,AverageScores,b6_feedback,FALSE)</f>
        <v>#DIV/0!</v>
      </c>
    </row>
    <row r="492" spans="2:7" ht="13.5" customHeight="1">
      <c r="B492" s="51" t="s">
        <v>65</v>
      </c>
      <c r="C492" s="55" t="e">
        <f>VLOOKUP(Exam_19,AverageScores,b6_completeness,FALSE)</f>
        <v>#DIV/0!</v>
      </c>
      <c r="D492" s="55" t="e">
        <f>VLOOKUP(Exam_19,AverageScores,b6_completeness,FALSE)</f>
        <v>#DIV/0!</v>
      </c>
      <c r="E492" s="55" t="e">
        <f>VLOOKUP(Exam_19,AverageScores,b6_completeness,FALSE)</f>
        <v>#DIV/0!</v>
      </c>
      <c r="F492" s="55" t="e">
        <f>VLOOKUP(Exam_19,AverageScores,b6_completeness,FALSE)</f>
        <v>#DIV/0!</v>
      </c>
      <c r="G492" s="55" t="e">
        <f>VLOOKUP(Exam_19,AverageScores,b6_completeness,FALSE)</f>
        <v>#DIV/0!</v>
      </c>
    </row>
    <row r="493" spans="2:7" ht="13.5" customHeight="1">
      <c r="B493" s="51" t="s">
        <v>66</v>
      </c>
      <c r="C493" s="55">
        <f>VLOOKUP(Exam_19,ScoringAccuracyTable,b6_accuracy,FALSE)</f>
      </c>
      <c r="D493" s="55">
        <f>VLOOKUP(Exam_19,ScoringAccuracyTable,b6_accuracy,FALSE)</f>
      </c>
      <c r="E493" s="55">
        <f>VLOOKUP(Exam_19,ScoringAccuracyTable,b6_accuracy,FALSE)</f>
      </c>
      <c r="F493" s="55">
        <f>VLOOKUP(Exam_19,ScoringAccuracyTable,b6_accuracy,FALSE)</f>
      </c>
      <c r="G493" s="55">
        <f>VLOOKUP(Exam_19,ScoringAccuracyTable,b6_accuracy,FALSE)</f>
      </c>
    </row>
    <row r="496" spans="1:7" ht="13.5" customHeight="1">
      <c r="A496" s="131" t="s">
        <v>18</v>
      </c>
      <c r="B496" s="243" t="s">
        <v>70</v>
      </c>
      <c r="C496" s="243"/>
      <c r="D496" s="243"/>
      <c r="E496" s="243"/>
      <c r="F496" s="243"/>
      <c r="G496" s="243"/>
    </row>
    <row r="497" spans="1:7" ht="13.5" customHeight="1">
      <c r="A497" s="132">
        <f>Exam_20</f>
        <v>20</v>
      </c>
      <c r="B497" s="244"/>
      <c r="C497" s="244"/>
      <c r="D497" s="244"/>
      <c r="E497" s="244"/>
      <c r="F497" s="244"/>
      <c r="G497" s="244"/>
    </row>
    <row r="498" spans="2:7" ht="13.5" customHeight="1">
      <c r="B498" s="50" t="s">
        <v>68</v>
      </c>
      <c r="C498" s="54" t="s">
        <v>58</v>
      </c>
      <c r="D498" s="54" t="s">
        <v>59</v>
      </c>
      <c r="E498" s="54" t="s">
        <v>60</v>
      </c>
      <c r="F498" s="54" t="s">
        <v>61</v>
      </c>
      <c r="G498" s="54" t="s">
        <v>62</v>
      </c>
    </row>
    <row r="499" spans="2:7" ht="13.5" customHeight="1">
      <c r="B499" s="51" t="s">
        <v>63</v>
      </c>
      <c r="C499" s="55" t="e">
        <f>0.2*AVERAGE(VLOOKUP(Exam_20,Sum_Accuracy,9,FALSE),VLOOKUP(Exam_20,Sum_Accuracy,10,FALSE))</f>
        <v>#VALUE!</v>
      </c>
      <c r="D499" s="55" t="e">
        <f>0.2*AVERAGE(VLOOKUP(Exam_20,Sum_Accuracy,9,FALSE),VLOOKUP(Exam_20,Sum_Accuracy,10,FALSE))</f>
        <v>#VALUE!</v>
      </c>
      <c r="E499" s="55" t="e">
        <f>0.2*AVERAGE(VLOOKUP(Exam_20,Sum_Accuracy,9,FALSE),VLOOKUP(Exam_20,Sum_Accuracy,10,FALSE))</f>
        <v>#VALUE!</v>
      </c>
      <c r="F499" s="55" t="e">
        <f>0.2*AVERAGE(VLOOKUP(Exam_20,Sum_Accuracy,9,FALSE),VLOOKUP(Exam_20,Sum_Accuracy,10,FALSE))</f>
        <v>#VALUE!</v>
      </c>
      <c r="G499" s="55" t="e">
        <f>0.2*AVERAGE(VLOOKUP(Exam_20,Sum_Accuracy,9,FALSE),VLOOKUP(Exam_20,Sum_Accuracy,10,FALSE))</f>
        <v>#VALUE!</v>
      </c>
    </row>
    <row r="500" spans="2:7" ht="13.5" customHeight="1">
      <c r="B500" s="51" t="s">
        <v>69</v>
      </c>
      <c r="C500" s="55" t="e">
        <f>0.2*AVERAGE(VLOOKUP(Exam_20,Sum_Accuracy,11,FALSE),VLOOKUP(Exam_20,Sum_Accuracy,12,FALSE))</f>
        <v>#VALUE!</v>
      </c>
      <c r="D500" s="55" t="e">
        <f>0.2*AVERAGE(VLOOKUP(Exam_20,Sum_Accuracy,11,FALSE),VLOOKUP(Exam_20,Sum_Accuracy,12,FALSE))</f>
        <v>#VALUE!</v>
      </c>
      <c r="E500" s="55" t="e">
        <f>0.2*AVERAGE(VLOOKUP(Exam_20,Sum_Accuracy,11,FALSE),VLOOKUP(Exam_20,Sum_Accuracy,12,FALSE))</f>
        <v>#VALUE!</v>
      </c>
      <c r="F500" s="55" t="e">
        <f>0.2*AVERAGE(VLOOKUP(Exam_20,Sum_Accuracy,11,FALSE),VLOOKUP(Exam_20,Sum_Accuracy,12,FALSE))</f>
        <v>#VALUE!</v>
      </c>
      <c r="G500" s="55" t="e">
        <f>0.2*AVERAGE(VLOOKUP(Exam_20,Sum_Accuracy,11,FALSE),VLOOKUP(Exam_20,Sum_Accuracy,12,FALSE))</f>
        <v>#VALUE!</v>
      </c>
    </row>
    <row r="501" spans="2:7" ht="13.5" customHeight="1">
      <c r="B501" s="51" t="s">
        <v>64</v>
      </c>
      <c r="C501" s="55" t="e">
        <f>0.2*AVERAGE(VLOOKUP(Exam_20,Sum_Accuracy,13,FALSE),VLOOKUP(Exam_20,Sum_Accuracy,14,FALSE))</f>
        <v>#VALUE!</v>
      </c>
      <c r="D501" s="55" t="e">
        <f>0.2*AVERAGE(VLOOKUP(Exam_20,Sum_Accuracy,13,FALSE),VLOOKUP(Exam_20,Sum_Accuracy,14,FALSE))</f>
        <v>#VALUE!</v>
      </c>
      <c r="E501" s="55" t="e">
        <f>0.2*AVERAGE(VLOOKUP(Exam_20,Sum_Accuracy,13,FALSE),VLOOKUP(Exam_20,Sum_Accuracy,14,FALSE))</f>
        <v>#VALUE!</v>
      </c>
      <c r="F501" s="55" t="e">
        <f>0.2*AVERAGE(VLOOKUP(Exam_20,Sum_Accuracy,13,FALSE),VLOOKUP(Exam_20,Sum_Accuracy,14,FALSE))</f>
        <v>#VALUE!</v>
      </c>
      <c r="G501" s="55" t="e">
        <f>0.2*AVERAGE(VLOOKUP(Exam_20,Sum_Accuracy,13,FALSE),VLOOKUP(Exam_20,Sum_Accuracy,14,FALSE))</f>
        <v>#VALUE!</v>
      </c>
    </row>
    <row r="502" spans="2:7" ht="13.5" customHeight="1">
      <c r="B502" s="51" t="s">
        <v>65</v>
      </c>
      <c r="C502" s="55" t="e">
        <f>0.2*AVERAGE(VLOOKUP(Exam_20,Sum_Accuracy,15,FALSE),VLOOKUP(Exam_20,Sum_Accuracy,16,FALSE))</f>
        <v>#VALUE!</v>
      </c>
      <c r="D502" s="55" t="e">
        <f>0.2*AVERAGE(VLOOKUP(Exam_20,Sum_Accuracy,15,FALSE),VLOOKUP(Exam_20,Sum_Accuracy,16,FALSE))</f>
        <v>#VALUE!</v>
      </c>
      <c r="E502" s="55" t="e">
        <f>0.2*AVERAGE(VLOOKUP(Exam_20,Sum_Accuracy,15,FALSE),VLOOKUP(Exam_20,Sum_Accuracy,16,FALSE))</f>
        <v>#VALUE!</v>
      </c>
      <c r="F502" s="55" t="e">
        <f>0.2*AVERAGE(VLOOKUP(Exam_20,Sum_Accuracy,15,FALSE),VLOOKUP(Exam_20,Sum_Accuracy,16,FALSE))</f>
        <v>#VALUE!</v>
      </c>
      <c r="G502" s="55" t="e">
        <f>0.2*AVERAGE(VLOOKUP(Exam_20,Sum_Accuracy,15,FALSE),VLOOKUP(Exam_20,Sum_Accuracy,16,FALSE))</f>
        <v>#VALUE!</v>
      </c>
    </row>
    <row r="503" spans="2:7" ht="13.5" customHeight="1">
      <c r="B503" s="51" t="s">
        <v>66</v>
      </c>
      <c r="C503" s="55" t="e">
        <f>VLOOKUP(Exam_20,Sum_Accuracy,8,FALSE)/5</f>
        <v>#VALUE!</v>
      </c>
      <c r="D503" s="55" t="e">
        <f>VLOOKUP(Exam_20,Sum_Accuracy,8,FALSE)/5</f>
        <v>#VALUE!</v>
      </c>
      <c r="E503" s="55" t="e">
        <f>VLOOKUP(Exam_20,Sum_Accuracy,8,FALSE)/5</f>
        <v>#VALUE!</v>
      </c>
      <c r="F503" s="55" t="e">
        <f>VLOOKUP(Exam_20,Sum_Accuracy,8,FALSE)/5</f>
        <v>#VALUE!</v>
      </c>
      <c r="G503" s="55" t="e">
        <f>VLOOKUP(Exam_20,Sum_Accuracy,8,FALSE)/5</f>
        <v>#VALUE!</v>
      </c>
    </row>
    <row r="504" spans="2:7" ht="13.5" customHeight="1">
      <c r="B504" s="241"/>
      <c r="C504" s="241"/>
      <c r="D504" s="241"/>
      <c r="E504" s="241"/>
      <c r="F504" s="241"/>
      <c r="G504" s="241"/>
    </row>
    <row r="506" spans="2:7" ht="13.5" customHeight="1">
      <c r="B506" s="245" t="s">
        <v>67</v>
      </c>
      <c r="C506" s="245"/>
      <c r="D506" s="245"/>
      <c r="E506" s="245"/>
      <c r="F506" s="245"/>
      <c r="G506" s="245"/>
    </row>
    <row r="507" spans="2:7" ht="13.5" customHeight="1">
      <c r="B507" s="246"/>
      <c r="C507" s="246"/>
      <c r="D507" s="246"/>
      <c r="E507" s="246"/>
      <c r="F507" s="246"/>
      <c r="G507" s="246"/>
    </row>
    <row r="508" spans="2:7" ht="13.5" customHeight="1">
      <c r="B508" s="52" t="s">
        <v>71</v>
      </c>
      <c r="C508" s="242" t="str">
        <f>BeerName1</f>
        <v>Style1</v>
      </c>
      <c r="D508" s="242"/>
      <c r="E508" s="242"/>
      <c r="F508" s="242"/>
      <c r="G508" s="242"/>
    </row>
    <row r="509" spans="2:7" ht="13.5" customHeight="1">
      <c r="B509" s="241"/>
      <c r="C509" s="241"/>
      <c r="D509" s="241"/>
      <c r="E509" s="241"/>
      <c r="F509" s="241"/>
      <c r="G509" s="241"/>
    </row>
    <row r="510" spans="2:7" ht="13.5" customHeight="1">
      <c r="B510" s="50" t="s">
        <v>68</v>
      </c>
      <c r="C510" s="54" t="s">
        <v>58</v>
      </c>
      <c r="D510" s="54" t="s">
        <v>59</v>
      </c>
      <c r="E510" s="54" t="s">
        <v>60</v>
      </c>
      <c r="F510" s="54" t="s">
        <v>61</v>
      </c>
      <c r="G510" s="54" t="s">
        <v>62</v>
      </c>
    </row>
    <row r="511" spans="2:7" ht="13.5" customHeight="1">
      <c r="B511" s="51" t="s">
        <v>63</v>
      </c>
      <c r="C511" s="55" t="e">
        <f>VLOOKUP(Exam_20,AverageScores,b1_perception,FALSE)</f>
        <v>#DIV/0!</v>
      </c>
      <c r="D511" s="55" t="e">
        <f>VLOOKUP(Exam_20,AverageScores,b1_perception,FALSE)</f>
        <v>#DIV/0!</v>
      </c>
      <c r="E511" s="55" t="e">
        <f>VLOOKUP(Exam_20,AverageScores,b1_perception,FALSE)</f>
        <v>#DIV/0!</v>
      </c>
      <c r="F511" s="55" t="e">
        <f>VLOOKUP(Exam_20,AverageScores,b1_perception,FALSE)</f>
        <v>#DIV/0!</v>
      </c>
      <c r="G511" s="55" t="e">
        <f>VLOOKUP(Exam_20,AverageScores,b1_perception,FALSE)</f>
        <v>#DIV/0!</v>
      </c>
    </row>
    <row r="512" spans="2:7" ht="13.5" customHeight="1">
      <c r="B512" s="51" t="s">
        <v>69</v>
      </c>
      <c r="C512" s="55" t="e">
        <f>VLOOKUP(Exam_20,AverageScores,b1_descriptive,FALSE)</f>
        <v>#DIV/0!</v>
      </c>
      <c r="D512" s="55" t="e">
        <f>VLOOKUP(Exam_20,AverageScores,b1_descriptive,FALSE)</f>
        <v>#DIV/0!</v>
      </c>
      <c r="E512" s="55" t="e">
        <f>VLOOKUP(Exam_20,AverageScores,b1_descriptive,FALSE)</f>
        <v>#DIV/0!</v>
      </c>
      <c r="F512" s="55" t="e">
        <f>VLOOKUP(Exam_20,AverageScores,b1_descriptive,FALSE)</f>
        <v>#DIV/0!</v>
      </c>
      <c r="G512" s="55" t="e">
        <f>VLOOKUP(Exam_20,AverageScores,b1_descriptive,FALSE)</f>
        <v>#DIV/0!</v>
      </c>
    </row>
    <row r="513" spans="2:7" ht="13.5" customHeight="1">
      <c r="B513" s="51" t="s">
        <v>64</v>
      </c>
      <c r="C513" s="55" t="e">
        <f>VLOOKUP(Exam_20,AverageScores,b1_feedback,FALSE)</f>
        <v>#DIV/0!</v>
      </c>
      <c r="D513" s="55" t="e">
        <f>VLOOKUP(Exam_20,AverageScores,b1_feedback,FALSE)</f>
        <v>#DIV/0!</v>
      </c>
      <c r="E513" s="55" t="e">
        <f>VLOOKUP(Exam_20,AverageScores,b1_feedback,FALSE)</f>
        <v>#DIV/0!</v>
      </c>
      <c r="F513" s="55" t="e">
        <f>VLOOKUP(Exam_20,AverageScores,b1_feedback,FALSE)</f>
        <v>#DIV/0!</v>
      </c>
      <c r="G513" s="55" t="e">
        <f>VLOOKUP(Exam_20,AverageScores,b1_feedback,FALSE)</f>
        <v>#DIV/0!</v>
      </c>
    </row>
    <row r="514" spans="2:7" ht="13.5" customHeight="1">
      <c r="B514" s="51" t="s">
        <v>65</v>
      </c>
      <c r="C514" s="55" t="e">
        <f>VLOOKUP(Exam_20,AverageScores,b1_completeness,FALSE)</f>
        <v>#DIV/0!</v>
      </c>
      <c r="D514" s="55" t="e">
        <f>VLOOKUP(Exam_20,AverageScores,b1_completeness,FALSE)</f>
        <v>#DIV/0!</v>
      </c>
      <c r="E514" s="55" t="e">
        <f>VLOOKUP(Exam_20,AverageScores,b1_completeness,FALSE)</f>
        <v>#DIV/0!</v>
      </c>
      <c r="F514" s="55" t="e">
        <f>VLOOKUP(Exam_20,AverageScores,b1_completeness,FALSE)</f>
        <v>#DIV/0!</v>
      </c>
      <c r="G514" s="55" t="e">
        <f>VLOOKUP(Exam_20,AverageScores,b1_completeness,FALSE)</f>
        <v>#DIV/0!</v>
      </c>
    </row>
    <row r="515" spans="2:7" ht="13.5" customHeight="1">
      <c r="B515" s="51" t="s">
        <v>66</v>
      </c>
      <c r="C515" s="55">
        <f>VLOOKUP(Exam_20,ScoringAccuracyTable,b1_accuracy,FALSE)</f>
      </c>
      <c r="D515" s="55">
        <f>VLOOKUP(Exam_20,ScoringAccuracyTable,b1_accuracy,FALSE)</f>
      </c>
      <c r="E515" s="55">
        <f>VLOOKUP(Exam_20,ScoringAccuracyTable,b1_accuracy,FALSE)</f>
      </c>
      <c r="F515" s="55">
        <f>VLOOKUP(Exam_20,ScoringAccuracyTable,b1_accuracy,FALSE)</f>
      </c>
      <c r="G515" s="55">
        <f>VLOOKUP(Exam_20,ScoringAccuracyTable,b1_accuracy,FALSE)</f>
      </c>
    </row>
    <row r="516" spans="2:7" ht="13.5" customHeight="1">
      <c r="B516" s="241"/>
      <c r="C516" s="241"/>
      <c r="D516" s="241"/>
      <c r="E516" s="241"/>
      <c r="F516" s="241"/>
      <c r="G516" s="241"/>
    </row>
    <row r="517" spans="2:7" ht="13.5" customHeight="1">
      <c r="B517" s="52" t="s">
        <v>72</v>
      </c>
      <c r="C517" s="242" t="str">
        <f>BeerName2</f>
        <v>Style2</v>
      </c>
      <c r="D517" s="242"/>
      <c r="E517" s="242"/>
      <c r="F517" s="242"/>
      <c r="G517" s="242"/>
    </row>
    <row r="518" spans="2:7" ht="13.5" customHeight="1">
      <c r="B518" s="247"/>
      <c r="C518" s="247"/>
      <c r="D518" s="247"/>
      <c r="E518" s="247"/>
      <c r="F518" s="247"/>
      <c r="G518" s="247"/>
    </row>
    <row r="519" spans="2:7" ht="13.5" customHeight="1">
      <c r="B519" s="50" t="s">
        <v>68</v>
      </c>
      <c r="C519" s="54" t="s">
        <v>58</v>
      </c>
      <c r="D519" s="56" t="s">
        <v>59</v>
      </c>
      <c r="E519" s="56" t="s">
        <v>60</v>
      </c>
      <c r="F519" s="56" t="s">
        <v>61</v>
      </c>
      <c r="G519" s="56" t="s">
        <v>62</v>
      </c>
    </row>
    <row r="520" spans="2:7" ht="13.5" customHeight="1">
      <c r="B520" s="51" t="s">
        <v>63</v>
      </c>
      <c r="C520" s="55" t="e">
        <f>VLOOKUP(Exam_20,AverageScores,b2_perceptive,FALSE)</f>
        <v>#DIV/0!</v>
      </c>
      <c r="D520" s="55" t="e">
        <f>VLOOKUP(Exam_20,AverageScores,b2_perceptive,FALSE)</f>
        <v>#DIV/0!</v>
      </c>
      <c r="E520" s="55" t="e">
        <f>VLOOKUP(Exam_20,AverageScores,b2_perceptive,FALSE)</f>
        <v>#DIV/0!</v>
      </c>
      <c r="F520" s="55" t="e">
        <f>VLOOKUP(Exam_20,AverageScores,b2_perceptive,FALSE)</f>
        <v>#DIV/0!</v>
      </c>
      <c r="G520" s="55" t="e">
        <f>VLOOKUP(Exam_20,AverageScores,b2_perceptive,FALSE)</f>
        <v>#DIV/0!</v>
      </c>
    </row>
    <row r="521" spans="2:7" ht="13.5" customHeight="1">
      <c r="B521" s="51" t="s">
        <v>69</v>
      </c>
      <c r="C521" s="55" t="e">
        <f>VLOOKUP(Exam_20,AverageScores,b2_descriptive,FALSE)</f>
        <v>#DIV/0!</v>
      </c>
      <c r="D521" s="55" t="e">
        <f>VLOOKUP(Exam_20,AverageScores,b2_descriptive,FALSE)</f>
        <v>#DIV/0!</v>
      </c>
      <c r="E521" s="55" t="e">
        <f>VLOOKUP(Exam_20,AverageScores,b2_descriptive,FALSE)</f>
        <v>#DIV/0!</v>
      </c>
      <c r="F521" s="55" t="e">
        <f>VLOOKUP(Exam_20,AverageScores,b2_descriptive,FALSE)</f>
        <v>#DIV/0!</v>
      </c>
      <c r="G521" s="55" t="e">
        <f>VLOOKUP(Exam_20,AverageScores,b2_descriptive,FALSE)</f>
        <v>#DIV/0!</v>
      </c>
    </row>
    <row r="522" spans="2:7" ht="13.5" customHeight="1">
      <c r="B522" s="51" t="s">
        <v>64</v>
      </c>
      <c r="C522" s="55" t="e">
        <f>VLOOKUP(Exam_20,AverageScores,b2_feedback,FALSE)</f>
        <v>#DIV/0!</v>
      </c>
      <c r="D522" s="55" t="e">
        <f>VLOOKUP(Exam_20,AverageScores,b2_feedback,FALSE)</f>
        <v>#DIV/0!</v>
      </c>
      <c r="E522" s="55" t="e">
        <f>VLOOKUP(Exam_20,AverageScores,b2_feedback,FALSE)</f>
        <v>#DIV/0!</v>
      </c>
      <c r="F522" s="55" t="e">
        <f>VLOOKUP(Exam_20,AverageScores,b2_feedback,FALSE)</f>
        <v>#DIV/0!</v>
      </c>
      <c r="G522" s="55" t="e">
        <f>VLOOKUP(Exam_20,AverageScores,b2_feedback,FALSE)</f>
        <v>#DIV/0!</v>
      </c>
    </row>
    <row r="523" spans="2:7" ht="13.5" customHeight="1">
      <c r="B523" s="51" t="s">
        <v>65</v>
      </c>
      <c r="C523" s="55" t="e">
        <f>VLOOKUP(Exam_20,AverageScores,b2_completeness,FALSE)</f>
        <v>#DIV/0!</v>
      </c>
      <c r="D523" s="55" t="e">
        <f>VLOOKUP(Exam_20,AverageScores,b2_completeness,FALSE)</f>
        <v>#DIV/0!</v>
      </c>
      <c r="E523" s="55" t="e">
        <f>VLOOKUP(Exam_20,AverageScores,b2_completeness,FALSE)</f>
        <v>#DIV/0!</v>
      </c>
      <c r="F523" s="55" t="e">
        <f>VLOOKUP(Exam_20,AverageScores,b2_completeness,FALSE)</f>
        <v>#DIV/0!</v>
      </c>
      <c r="G523" s="55" t="e">
        <f>VLOOKUP(Exam_20,AverageScores,b2_completeness,FALSE)</f>
        <v>#DIV/0!</v>
      </c>
    </row>
    <row r="524" spans="2:7" ht="13.5" customHeight="1">
      <c r="B524" s="51" t="s">
        <v>66</v>
      </c>
      <c r="C524" s="55">
        <f>VLOOKUP(Exam_20,ScoringAccuracyTable,b2_accuracy,FALSE)</f>
      </c>
      <c r="D524" s="55">
        <f>VLOOKUP(Exam_20,ScoringAccuracyTable,b2_accuracy,FALSE)</f>
      </c>
      <c r="E524" s="55">
        <f>VLOOKUP(Exam_20,ScoringAccuracyTable,b2_accuracy,FALSE)</f>
      </c>
      <c r="F524" s="55">
        <f>VLOOKUP(Exam_20,ScoringAccuracyTable,b2_accuracy,FALSE)</f>
      </c>
      <c r="G524" s="55">
        <f>VLOOKUP(Exam_20,ScoringAccuracyTable,b2_accuracy,FALSE)</f>
      </c>
    </row>
    <row r="525" spans="2:7" ht="13.5" customHeight="1">
      <c r="B525" s="241"/>
      <c r="C525" s="241"/>
      <c r="D525" s="241"/>
      <c r="E525" s="241"/>
      <c r="F525" s="241"/>
      <c r="G525" s="241"/>
    </row>
    <row r="526" spans="2:7" ht="13.5" customHeight="1">
      <c r="B526" s="52" t="s">
        <v>76</v>
      </c>
      <c r="C526" s="242" t="str">
        <f>BeerName3</f>
        <v>Style3</v>
      </c>
      <c r="D526" s="242"/>
      <c r="E526" s="242"/>
      <c r="F526" s="242"/>
      <c r="G526" s="242"/>
    </row>
    <row r="527" spans="2:7" ht="13.5" customHeight="1">
      <c r="B527" s="247"/>
      <c r="C527" s="247"/>
      <c r="D527" s="247"/>
      <c r="E527" s="247"/>
      <c r="F527" s="247"/>
      <c r="G527" s="247"/>
    </row>
    <row r="528" spans="2:7" ht="13.5" customHeight="1">
      <c r="B528" s="50" t="s">
        <v>68</v>
      </c>
      <c r="C528" s="54" t="s">
        <v>58</v>
      </c>
      <c r="D528" s="54" t="s">
        <v>59</v>
      </c>
      <c r="E528" s="54" t="s">
        <v>60</v>
      </c>
      <c r="F528" s="54" t="s">
        <v>61</v>
      </c>
      <c r="G528" s="54" t="s">
        <v>62</v>
      </c>
    </row>
    <row r="529" spans="2:7" ht="13.5" customHeight="1">
      <c r="B529" s="51" t="s">
        <v>63</v>
      </c>
      <c r="C529" s="55" t="e">
        <f>VLOOKUP(Exam_20,AverageScores,b3_perception,FALSE)</f>
        <v>#DIV/0!</v>
      </c>
      <c r="D529" s="55" t="e">
        <f>VLOOKUP(Exam_20,AverageScores,b3_perception,FALSE)</f>
        <v>#DIV/0!</v>
      </c>
      <c r="E529" s="55" t="e">
        <f>VLOOKUP(Exam_20,AverageScores,b3_perception,FALSE)</f>
        <v>#DIV/0!</v>
      </c>
      <c r="F529" s="55" t="e">
        <f>VLOOKUP(Exam_20,AverageScores,b3_perception,FALSE)</f>
        <v>#DIV/0!</v>
      </c>
      <c r="G529" s="55" t="e">
        <f>VLOOKUP(Exam_20,AverageScores,b3_perception,FALSE)</f>
        <v>#DIV/0!</v>
      </c>
    </row>
    <row r="530" spans="2:7" ht="13.5" customHeight="1">
      <c r="B530" s="51" t="s">
        <v>69</v>
      </c>
      <c r="C530" s="55" t="e">
        <f>VLOOKUP(Exam_20,AverageScores,b3_descriptive,FALSE)</f>
        <v>#DIV/0!</v>
      </c>
      <c r="D530" s="55" t="e">
        <f>VLOOKUP(Exam_20,AverageScores,b3_descriptive,FALSE)</f>
        <v>#DIV/0!</v>
      </c>
      <c r="E530" s="55" t="e">
        <f>VLOOKUP(Exam_20,AverageScores,b3_descriptive,FALSE)</f>
        <v>#DIV/0!</v>
      </c>
      <c r="F530" s="55" t="e">
        <f>VLOOKUP(Exam_20,AverageScores,b3_descriptive,FALSE)</f>
        <v>#DIV/0!</v>
      </c>
      <c r="G530" s="55" t="e">
        <f>VLOOKUP(Exam_20,AverageScores,b3_descriptive,FALSE)</f>
        <v>#DIV/0!</v>
      </c>
    </row>
    <row r="531" spans="2:7" ht="13.5" customHeight="1">
      <c r="B531" s="51" t="s">
        <v>64</v>
      </c>
      <c r="C531" s="55" t="e">
        <f>VLOOKUP(Exam_20,AverageScores,b3_feedback,FALSE)</f>
        <v>#DIV/0!</v>
      </c>
      <c r="D531" s="55" t="e">
        <f>VLOOKUP(Exam_20,AverageScores,b3_feedback,FALSE)</f>
        <v>#DIV/0!</v>
      </c>
      <c r="E531" s="55" t="e">
        <f>VLOOKUP(Exam_20,AverageScores,b3_feedback,FALSE)</f>
        <v>#DIV/0!</v>
      </c>
      <c r="F531" s="55" t="e">
        <f>VLOOKUP(Exam_20,AverageScores,b3_feedback,FALSE)</f>
        <v>#DIV/0!</v>
      </c>
      <c r="G531" s="55" t="e">
        <f>VLOOKUP(Exam_20,AverageScores,b3_feedback,FALSE)</f>
        <v>#DIV/0!</v>
      </c>
    </row>
    <row r="532" spans="2:7" ht="13.5" customHeight="1">
      <c r="B532" s="51" t="s">
        <v>65</v>
      </c>
      <c r="C532" s="55" t="e">
        <f>VLOOKUP(Exam_20,AverageScores,b3_completeness,FALSE)</f>
        <v>#DIV/0!</v>
      </c>
      <c r="D532" s="55" t="e">
        <f>VLOOKUP(Exam_20,AverageScores,b3_completeness,FALSE)</f>
        <v>#DIV/0!</v>
      </c>
      <c r="E532" s="55" t="e">
        <f>VLOOKUP(Exam_20,AverageScores,b3_completeness,FALSE)</f>
        <v>#DIV/0!</v>
      </c>
      <c r="F532" s="55" t="e">
        <f>VLOOKUP(Exam_20,AverageScores,b3_completeness,FALSE)</f>
        <v>#DIV/0!</v>
      </c>
      <c r="G532" s="55" t="e">
        <f>VLOOKUP(Exam_20,AverageScores,b3_completeness,FALSE)</f>
        <v>#DIV/0!</v>
      </c>
    </row>
    <row r="533" spans="2:7" ht="13.5" customHeight="1">
      <c r="B533" s="51" t="s">
        <v>66</v>
      </c>
      <c r="C533" s="55">
        <f>VLOOKUP(Exam_20,ScoringAccuracyTable,b3_accuracy,FALSE)</f>
      </c>
      <c r="D533" s="55">
        <f>VLOOKUP(Exam_20,ScoringAccuracyTable,b3_accuracy,FALSE)</f>
      </c>
      <c r="E533" s="55">
        <f>VLOOKUP(Exam_20,ScoringAccuracyTable,b3_accuracy,FALSE)</f>
      </c>
      <c r="F533" s="55">
        <f>VLOOKUP(Exam_20,ScoringAccuracyTable,b3_accuracy,FALSE)</f>
      </c>
      <c r="G533" s="55">
        <f>VLOOKUP(Exam_20,ScoringAccuracyTable,b3_accuracy,FALSE)</f>
      </c>
    </row>
    <row r="534" spans="2:7" ht="13.5" customHeight="1">
      <c r="B534" s="241"/>
      <c r="C534" s="241"/>
      <c r="D534" s="241"/>
      <c r="E534" s="241"/>
      <c r="F534" s="241"/>
      <c r="G534" s="241"/>
    </row>
    <row r="535" spans="2:7" ht="13.5" customHeight="1">
      <c r="B535" s="52" t="s">
        <v>75</v>
      </c>
      <c r="C535" s="242" t="str">
        <f>BeerName4</f>
        <v>Style4</v>
      </c>
      <c r="D535" s="242"/>
      <c r="E535" s="242"/>
      <c r="F535" s="242"/>
      <c r="G535" s="242"/>
    </row>
    <row r="536" spans="2:7" ht="13.5" customHeight="1">
      <c r="B536" s="241"/>
      <c r="C536" s="241"/>
      <c r="D536" s="241"/>
      <c r="E536" s="241"/>
      <c r="F536" s="241"/>
      <c r="G536" s="241"/>
    </row>
    <row r="537" spans="2:7" ht="13.5" customHeight="1">
      <c r="B537" s="50" t="s">
        <v>68</v>
      </c>
      <c r="C537" s="54" t="s">
        <v>58</v>
      </c>
      <c r="D537" s="54" t="s">
        <v>59</v>
      </c>
      <c r="E537" s="54" t="s">
        <v>60</v>
      </c>
      <c r="F537" s="54" t="s">
        <v>61</v>
      </c>
      <c r="G537" s="54" t="s">
        <v>62</v>
      </c>
    </row>
    <row r="538" spans="2:7" ht="13.5" customHeight="1">
      <c r="B538" s="51" t="s">
        <v>63</v>
      </c>
      <c r="C538" s="55" t="e">
        <f>VLOOKUP(Exam_20,AverageScores,b4_perception,FALSE)</f>
        <v>#DIV/0!</v>
      </c>
      <c r="D538" s="55" t="e">
        <f>VLOOKUP(Exam_20,AverageScores,b4_perception,FALSE)</f>
        <v>#DIV/0!</v>
      </c>
      <c r="E538" s="55" t="e">
        <f>VLOOKUP(Exam_20,AverageScores,b4_perception,FALSE)</f>
        <v>#DIV/0!</v>
      </c>
      <c r="F538" s="55" t="e">
        <f>VLOOKUP(Exam_20,AverageScores,b4_perception,FALSE)</f>
        <v>#DIV/0!</v>
      </c>
      <c r="G538" s="55" t="e">
        <f>VLOOKUP(Exam_20,AverageScores,b4_perception,FALSE)</f>
        <v>#DIV/0!</v>
      </c>
    </row>
    <row r="539" spans="2:7" ht="13.5" customHeight="1">
      <c r="B539" s="51" t="s">
        <v>69</v>
      </c>
      <c r="C539" s="55" t="e">
        <f>VLOOKUP(Exam_20,AverageScores,b4_descriptive,FALSE)</f>
        <v>#DIV/0!</v>
      </c>
      <c r="D539" s="55" t="e">
        <f>VLOOKUP(Exam_20,AverageScores,b4_descriptive,FALSE)</f>
        <v>#DIV/0!</v>
      </c>
      <c r="E539" s="55" t="e">
        <f>VLOOKUP(Exam_20,AverageScores,b4_descriptive,FALSE)</f>
        <v>#DIV/0!</v>
      </c>
      <c r="F539" s="55" t="e">
        <f>VLOOKUP(Exam_20,AverageScores,b4_descriptive,FALSE)</f>
        <v>#DIV/0!</v>
      </c>
      <c r="G539" s="55" t="e">
        <f>VLOOKUP(Exam_20,AverageScores,b4_descriptive,FALSE)</f>
        <v>#DIV/0!</v>
      </c>
    </row>
    <row r="540" spans="2:7" ht="13.5" customHeight="1">
      <c r="B540" s="51" t="s">
        <v>64</v>
      </c>
      <c r="C540" s="55" t="e">
        <f>VLOOKUP(Exam_20,AverageScores,b4_feedback,FALSE)</f>
        <v>#DIV/0!</v>
      </c>
      <c r="D540" s="55" t="e">
        <f>VLOOKUP(Exam_20,AverageScores,b4_feedback,FALSE)</f>
        <v>#DIV/0!</v>
      </c>
      <c r="E540" s="55" t="e">
        <f>VLOOKUP(Exam_20,AverageScores,b4_feedback,FALSE)</f>
        <v>#DIV/0!</v>
      </c>
      <c r="F540" s="55" t="e">
        <f>VLOOKUP(Exam_20,AverageScores,b4_feedback,FALSE)</f>
        <v>#DIV/0!</v>
      </c>
      <c r="G540" s="55" t="e">
        <f>VLOOKUP(Exam_20,AverageScores,b4_feedback,FALSE)</f>
        <v>#DIV/0!</v>
      </c>
    </row>
    <row r="541" spans="2:7" ht="13.5" customHeight="1">
      <c r="B541" s="51" t="s">
        <v>65</v>
      </c>
      <c r="C541" s="55" t="e">
        <f>VLOOKUP(Exam_20,AverageScores,b4_completeness,FALSE)</f>
        <v>#DIV/0!</v>
      </c>
      <c r="D541" s="55" t="e">
        <f>VLOOKUP(Exam_20,AverageScores,b4_completeness,FALSE)</f>
        <v>#DIV/0!</v>
      </c>
      <c r="E541" s="55" t="e">
        <f>VLOOKUP(Exam_20,AverageScores,b4_completeness,FALSE)</f>
        <v>#DIV/0!</v>
      </c>
      <c r="F541" s="55" t="e">
        <f>VLOOKUP(Exam_20,AverageScores,b4_completeness,FALSE)</f>
        <v>#DIV/0!</v>
      </c>
      <c r="G541" s="55" t="e">
        <f>VLOOKUP(Exam_20,AverageScores,b4_completeness,FALSE)</f>
        <v>#DIV/0!</v>
      </c>
    </row>
    <row r="542" spans="2:7" ht="13.5" customHeight="1">
      <c r="B542" s="51" t="s">
        <v>66</v>
      </c>
      <c r="C542" s="55">
        <f>VLOOKUP(Exam_20,ScoringAccuracyTable,b4_accuracy,FALSE)</f>
      </c>
      <c r="D542" s="55">
        <f>VLOOKUP(Exam_20,ScoringAccuracyTable,b4_accuracy,FALSE)</f>
      </c>
      <c r="E542" s="55">
        <f>VLOOKUP(Exam_20,ScoringAccuracyTable,b4_accuracy,FALSE)</f>
      </c>
      <c r="F542" s="55">
        <f>VLOOKUP(Exam_20,ScoringAccuracyTable,b4_accuracy,FALSE)</f>
      </c>
      <c r="G542" s="55">
        <f>VLOOKUP(Exam_20,ScoringAccuracyTable,b4_accuracy,FALSE)</f>
      </c>
    </row>
    <row r="543" spans="2:7" ht="13.5" customHeight="1">
      <c r="B543" s="241"/>
      <c r="C543" s="241"/>
      <c r="D543" s="241"/>
      <c r="E543" s="241"/>
      <c r="F543" s="241"/>
      <c r="G543" s="241"/>
    </row>
    <row r="548" spans="2:7" ht="13.5" customHeight="1">
      <c r="B548" s="52" t="s">
        <v>74</v>
      </c>
      <c r="C548" s="242" t="str">
        <f>BeerName5</f>
        <v>Style5</v>
      </c>
      <c r="D548" s="242"/>
      <c r="E548" s="242"/>
      <c r="F548" s="242"/>
      <c r="G548" s="242"/>
    </row>
    <row r="549" spans="2:7" ht="13.5" customHeight="1">
      <c r="B549" s="241"/>
      <c r="C549" s="241"/>
      <c r="D549" s="241"/>
      <c r="E549" s="241"/>
      <c r="F549" s="241"/>
      <c r="G549" s="241"/>
    </row>
    <row r="550" spans="2:7" ht="13.5" customHeight="1">
      <c r="B550" s="50" t="s">
        <v>68</v>
      </c>
      <c r="C550" s="54" t="s">
        <v>58</v>
      </c>
      <c r="D550" s="54" t="s">
        <v>59</v>
      </c>
      <c r="E550" s="54" t="s">
        <v>60</v>
      </c>
      <c r="F550" s="54" t="s">
        <v>61</v>
      </c>
      <c r="G550" s="54" t="s">
        <v>62</v>
      </c>
    </row>
    <row r="551" spans="2:7" ht="13.5" customHeight="1">
      <c r="B551" s="51" t="s">
        <v>63</v>
      </c>
      <c r="C551" s="55" t="e">
        <f>VLOOKUP(Exam_20,AverageScores,b5_perception,FALSE)</f>
        <v>#DIV/0!</v>
      </c>
      <c r="D551" s="55" t="e">
        <f>VLOOKUP(Exam_20,AverageScores,b5_perception,FALSE)</f>
        <v>#DIV/0!</v>
      </c>
      <c r="E551" s="55" t="e">
        <f>VLOOKUP(Exam_20,AverageScores,b5_perception,FALSE)</f>
        <v>#DIV/0!</v>
      </c>
      <c r="F551" s="55" t="e">
        <f>VLOOKUP(Exam_20,AverageScores,b5_perception,FALSE)</f>
        <v>#DIV/0!</v>
      </c>
      <c r="G551" s="55" t="e">
        <f>VLOOKUP(Exam_20,AverageScores,b5_perception,FALSE)</f>
        <v>#DIV/0!</v>
      </c>
    </row>
    <row r="552" spans="2:7" ht="13.5" customHeight="1">
      <c r="B552" s="51" t="s">
        <v>69</v>
      </c>
      <c r="C552" s="55" t="e">
        <f>VLOOKUP(Exam_20,AverageScores,b5_descriptive,FALSE)</f>
        <v>#DIV/0!</v>
      </c>
      <c r="D552" s="55" t="e">
        <f>VLOOKUP(Exam_20,AverageScores,b5_descriptive,FALSE)</f>
        <v>#DIV/0!</v>
      </c>
      <c r="E552" s="55" t="e">
        <f>VLOOKUP(Exam_20,AverageScores,b5_descriptive,FALSE)</f>
        <v>#DIV/0!</v>
      </c>
      <c r="F552" s="55" t="e">
        <f>VLOOKUP(Exam_20,AverageScores,b5_descriptive,FALSE)</f>
        <v>#DIV/0!</v>
      </c>
      <c r="G552" s="55" t="e">
        <f>VLOOKUP(Exam_20,AverageScores,b5_descriptive,FALSE)</f>
        <v>#DIV/0!</v>
      </c>
    </row>
    <row r="553" spans="2:7" ht="13.5" customHeight="1">
      <c r="B553" s="51" t="s">
        <v>64</v>
      </c>
      <c r="C553" s="55" t="e">
        <f>VLOOKUP(Exam_20,AverageScores,b5_feedback,FALSE)</f>
        <v>#DIV/0!</v>
      </c>
      <c r="D553" s="55" t="e">
        <f>VLOOKUP(Exam_20,AverageScores,b5_feedback,FALSE)</f>
        <v>#DIV/0!</v>
      </c>
      <c r="E553" s="55" t="e">
        <f>VLOOKUP(Exam_20,AverageScores,b5_feedback,FALSE)</f>
        <v>#DIV/0!</v>
      </c>
      <c r="F553" s="55" t="e">
        <f>VLOOKUP(Exam_20,AverageScores,b5_feedback,FALSE)</f>
        <v>#DIV/0!</v>
      </c>
      <c r="G553" s="55" t="e">
        <f>VLOOKUP(Exam_20,AverageScores,b5_feedback,FALSE)</f>
        <v>#DIV/0!</v>
      </c>
    </row>
    <row r="554" spans="2:7" ht="13.5" customHeight="1">
      <c r="B554" s="51" t="s">
        <v>65</v>
      </c>
      <c r="C554" s="55" t="e">
        <f>VLOOKUP(Exam_20,AverageScores,b5_completeness,FALSE)</f>
        <v>#DIV/0!</v>
      </c>
      <c r="D554" s="55" t="e">
        <f>VLOOKUP(Exam_20,AverageScores,b5_completeness,FALSE)</f>
        <v>#DIV/0!</v>
      </c>
      <c r="E554" s="55" t="e">
        <f>VLOOKUP(Exam_20,AverageScores,b5_completeness,FALSE)</f>
        <v>#DIV/0!</v>
      </c>
      <c r="F554" s="55" t="e">
        <f>VLOOKUP(Exam_20,AverageScores,b5_completeness,FALSE)</f>
        <v>#DIV/0!</v>
      </c>
      <c r="G554" s="55" t="e">
        <f>VLOOKUP(Exam_20,AverageScores,b5_completeness,FALSE)</f>
        <v>#DIV/0!</v>
      </c>
    </row>
    <row r="555" spans="2:7" ht="13.5" customHeight="1">
      <c r="B555" s="51" t="s">
        <v>66</v>
      </c>
      <c r="C555" s="55">
        <f>VLOOKUP(Exam_20,ScoringAccuracyTable,b5_accuracy,FALSE)</f>
      </c>
      <c r="D555" s="55">
        <f>VLOOKUP(Exam_20,ScoringAccuracyTable,b5_accuracy,FALSE)</f>
      </c>
      <c r="E555" s="55">
        <f>VLOOKUP(Exam_20,ScoringAccuracyTable,b5_accuracy,FALSE)</f>
      </c>
      <c r="F555" s="55">
        <f>VLOOKUP(Exam_20,ScoringAccuracyTable,b5_accuracy,FALSE)</f>
      </c>
      <c r="G555" s="55">
        <f>VLOOKUP(Exam_20,ScoringAccuracyTable,b5_accuracy,FALSE)</f>
      </c>
    </row>
    <row r="556" spans="2:7" ht="13.5" customHeight="1">
      <c r="B556" s="241"/>
      <c r="C556" s="241"/>
      <c r="D556" s="241"/>
      <c r="E556" s="241"/>
      <c r="F556" s="241"/>
      <c r="G556" s="241"/>
    </row>
    <row r="557" spans="2:7" ht="13.5" customHeight="1">
      <c r="B557" s="52" t="s">
        <v>73</v>
      </c>
      <c r="C557" s="242" t="str">
        <f>BeerName6</f>
        <v>Style6</v>
      </c>
      <c r="D557" s="242"/>
      <c r="E557" s="242"/>
      <c r="F557" s="242"/>
      <c r="G557" s="242"/>
    </row>
    <row r="558" spans="2:7" ht="13.5" customHeight="1">
      <c r="B558" s="241"/>
      <c r="C558" s="241"/>
      <c r="D558" s="241"/>
      <c r="E558" s="241"/>
      <c r="F558" s="241"/>
      <c r="G558" s="241"/>
    </row>
    <row r="559" spans="2:7" ht="13.5" customHeight="1">
      <c r="B559" s="50" t="s">
        <v>68</v>
      </c>
      <c r="C559" s="54" t="s">
        <v>58</v>
      </c>
      <c r="D559" s="54" t="s">
        <v>59</v>
      </c>
      <c r="E559" s="54" t="s">
        <v>60</v>
      </c>
      <c r="F559" s="54" t="s">
        <v>61</v>
      </c>
      <c r="G559" s="54" t="s">
        <v>62</v>
      </c>
    </row>
    <row r="560" spans="2:7" ht="13.5" customHeight="1">
      <c r="B560" s="51" t="s">
        <v>63</v>
      </c>
      <c r="C560" s="55" t="e">
        <f>VLOOKUP(Exam_20,AverageScores,b6_perception,FALSE)</f>
        <v>#DIV/0!</v>
      </c>
      <c r="D560" s="55" t="e">
        <f>VLOOKUP(Exam_20,AverageScores,b6_perception,FALSE)</f>
        <v>#DIV/0!</v>
      </c>
      <c r="E560" s="55" t="e">
        <f>VLOOKUP(Exam_20,AverageScores,b6_perception,FALSE)</f>
        <v>#DIV/0!</v>
      </c>
      <c r="F560" s="55" t="e">
        <f>VLOOKUP(Exam_20,AverageScores,b6_perception,FALSE)</f>
        <v>#DIV/0!</v>
      </c>
      <c r="G560" s="55" t="e">
        <f>VLOOKUP(Exam_20,AverageScores,b6_perception,FALSE)</f>
        <v>#DIV/0!</v>
      </c>
    </row>
    <row r="561" spans="2:7" ht="13.5" customHeight="1">
      <c r="B561" s="51" t="s">
        <v>69</v>
      </c>
      <c r="C561" s="55" t="e">
        <f>VLOOKUP(Exam_20,AverageScores,b6_descriptive,FALSE)</f>
        <v>#DIV/0!</v>
      </c>
      <c r="D561" s="55" t="e">
        <f>VLOOKUP(Exam_20,AverageScores,b6_descriptive,FALSE)</f>
        <v>#DIV/0!</v>
      </c>
      <c r="E561" s="55" t="e">
        <f>VLOOKUP(Exam_20,AverageScores,b6_descriptive,FALSE)</f>
        <v>#DIV/0!</v>
      </c>
      <c r="F561" s="55" t="e">
        <f>VLOOKUP(Exam_20,AverageScores,b6_descriptive,FALSE)</f>
        <v>#DIV/0!</v>
      </c>
      <c r="G561" s="55" t="e">
        <f>VLOOKUP(Exam_20,AverageScores,b6_descriptive,FALSE)</f>
        <v>#DIV/0!</v>
      </c>
    </row>
    <row r="562" spans="2:7" ht="13.5" customHeight="1">
      <c r="B562" s="51" t="s">
        <v>64</v>
      </c>
      <c r="C562" s="55" t="e">
        <f>VLOOKUP(Exam_20,AverageScores,b6_feedback,FALSE)</f>
        <v>#DIV/0!</v>
      </c>
      <c r="D562" s="55" t="e">
        <f>VLOOKUP(Exam_20,AverageScores,b6_feedback,FALSE)</f>
        <v>#DIV/0!</v>
      </c>
      <c r="E562" s="55" t="e">
        <f>VLOOKUP(Exam_20,AverageScores,b6_feedback,FALSE)</f>
        <v>#DIV/0!</v>
      </c>
      <c r="F562" s="55" t="e">
        <f>VLOOKUP(Exam_20,AverageScores,b6_feedback,FALSE)</f>
        <v>#DIV/0!</v>
      </c>
      <c r="G562" s="55" t="e">
        <f>VLOOKUP(Exam_20,AverageScores,b6_feedback,FALSE)</f>
        <v>#DIV/0!</v>
      </c>
    </row>
    <row r="563" spans="2:7" ht="13.5" customHeight="1">
      <c r="B563" s="51" t="s">
        <v>65</v>
      </c>
      <c r="C563" s="55" t="e">
        <f>VLOOKUP(Exam_20,AverageScores,b6_completeness,FALSE)</f>
        <v>#DIV/0!</v>
      </c>
      <c r="D563" s="55" t="e">
        <f>VLOOKUP(Exam_20,AverageScores,b6_completeness,FALSE)</f>
        <v>#DIV/0!</v>
      </c>
      <c r="E563" s="55" t="e">
        <f>VLOOKUP(Exam_20,AverageScores,b6_completeness,FALSE)</f>
        <v>#DIV/0!</v>
      </c>
      <c r="F563" s="55" t="e">
        <f>VLOOKUP(Exam_20,AverageScores,b6_completeness,FALSE)</f>
        <v>#DIV/0!</v>
      </c>
      <c r="G563" s="55" t="e">
        <f>VLOOKUP(Exam_20,AverageScores,b6_completeness,FALSE)</f>
        <v>#DIV/0!</v>
      </c>
    </row>
    <row r="564" spans="2:7" ht="13.5" customHeight="1">
      <c r="B564" s="51" t="s">
        <v>66</v>
      </c>
      <c r="C564" s="55">
        <f>VLOOKUP(Exam_20,ScoringAccuracyTable,b6_accuracy,FALSE)</f>
      </c>
      <c r="D564" s="55">
        <f>VLOOKUP(Exam_20,ScoringAccuracyTable,b6_accuracy,FALSE)</f>
      </c>
      <c r="E564" s="55">
        <f>VLOOKUP(Exam_20,ScoringAccuracyTable,b6_accuracy,FALSE)</f>
      </c>
      <c r="F564" s="55">
        <f>VLOOKUP(Exam_20,ScoringAccuracyTable,b6_accuracy,FALSE)</f>
      </c>
      <c r="G564" s="55">
        <f>VLOOKUP(Exam_20,ScoringAccuracyTable,b6_accuracy,FALSE)</f>
      </c>
    </row>
    <row r="567" spans="1:7" ht="13.5" customHeight="1">
      <c r="A567" s="131" t="s">
        <v>18</v>
      </c>
      <c r="B567" s="243" t="s">
        <v>70</v>
      </c>
      <c r="C567" s="243"/>
      <c r="D567" s="243"/>
      <c r="E567" s="243"/>
      <c r="F567" s="243"/>
      <c r="G567" s="243"/>
    </row>
    <row r="568" spans="1:7" ht="13.5" customHeight="1">
      <c r="A568" s="132">
        <f>Exam_21</f>
        <v>21</v>
      </c>
      <c r="B568" s="244"/>
      <c r="C568" s="244"/>
      <c r="D568" s="244"/>
      <c r="E568" s="244"/>
      <c r="F568" s="244"/>
      <c r="G568" s="244"/>
    </row>
    <row r="569" spans="2:7" ht="13.5" customHeight="1">
      <c r="B569" s="50" t="s">
        <v>68</v>
      </c>
      <c r="C569" s="54" t="s">
        <v>58</v>
      </c>
      <c r="D569" s="54" t="s">
        <v>59</v>
      </c>
      <c r="E569" s="54" t="s">
        <v>60</v>
      </c>
      <c r="F569" s="54" t="s">
        <v>61</v>
      </c>
      <c r="G569" s="54" t="s">
        <v>62</v>
      </c>
    </row>
    <row r="570" spans="2:7" ht="13.5" customHeight="1">
      <c r="B570" s="51" t="s">
        <v>63</v>
      </c>
      <c r="C570" s="55" t="e">
        <f>0.2*AVERAGE(VLOOKUP(Exam_21,Sum_Accuracy,9,FALSE),VLOOKUP(Exam_21,Sum_Accuracy,10,FALSE))</f>
        <v>#VALUE!</v>
      </c>
      <c r="D570" s="55" t="e">
        <f>0.2*AVERAGE(VLOOKUP(Exam_21,Sum_Accuracy,9,FALSE),VLOOKUP(Exam_21,Sum_Accuracy,10,FALSE))</f>
        <v>#VALUE!</v>
      </c>
      <c r="E570" s="55" t="e">
        <f>0.2*AVERAGE(VLOOKUP(Exam_21,Sum_Accuracy,9,FALSE),VLOOKUP(Exam_21,Sum_Accuracy,10,FALSE))</f>
        <v>#VALUE!</v>
      </c>
      <c r="F570" s="55" t="e">
        <f>0.2*AVERAGE(VLOOKUP(Exam_21,Sum_Accuracy,9,FALSE),VLOOKUP(Exam_21,Sum_Accuracy,10,FALSE))</f>
        <v>#VALUE!</v>
      </c>
      <c r="G570" s="55" t="e">
        <f>0.2*AVERAGE(VLOOKUP(Exam_21,Sum_Accuracy,9,FALSE),VLOOKUP(Exam_21,Sum_Accuracy,10,FALSE))</f>
        <v>#VALUE!</v>
      </c>
    </row>
    <row r="571" spans="2:7" ht="13.5" customHeight="1">
      <c r="B571" s="51" t="s">
        <v>69</v>
      </c>
      <c r="C571" s="55" t="e">
        <f>0.2*AVERAGE(VLOOKUP(Exam_21,Sum_Accuracy,11,FALSE),VLOOKUP(Exam_21,Sum_Accuracy,12,FALSE))</f>
        <v>#VALUE!</v>
      </c>
      <c r="D571" s="55" t="e">
        <f>0.2*AVERAGE(VLOOKUP(Exam_21,Sum_Accuracy,11,FALSE),VLOOKUP(Exam_21,Sum_Accuracy,12,FALSE))</f>
        <v>#VALUE!</v>
      </c>
      <c r="E571" s="55" t="e">
        <f>0.2*AVERAGE(VLOOKUP(Exam_21,Sum_Accuracy,11,FALSE),VLOOKUP(Exam_21,Sum_Accuracy,12,FALSE))</f>
        <v>#VALUE!</v>
      </c>
      <c r="F571" s="55" t="e">
        <f>0.2*AVERAGE(VLOOKUP(Exam_21,Sum_Accuracy,11,FALSE),VLOOKUP(Exam_21,Sum_Accuracy,12,FALSE))</f>
        <v>#VALUE!</v>
      </c>
      <c r="G571" s="55" t="e">
        <f>0.2*AVERAGE(VLOOKUP(Exam_21,Sum_Accuracy,11,FALSE),VLOOKUP(Exam_21,Sum_Accuracy,12,FALSE))</f>
        <v>#VALUE!</v>
      </c>
    </row>
    <row r="572" spans="2:7" ht="13.5" customHeight="1">
      <c r="B572" s="51" t="s">
        <v>64</v>
      </c>
      <c r="C572" s="55" t="e">
        <f>0.2*AVERAGE(VLOOKUP(Exam_21,Sum_Accuracy,13,FALSE),VLOOKUP(Exam_21,Sum_Accuracy,14,FALSE))</f>
        <v>#VALUE!</v>
      </c>
      <c r="D572" s="55" t="e">
        <f>0.2*AVERAGE(VLOOKUP(Exam_21,Sum_Accuracy,13,FALSE),VLOOKUP(Exam_21,Sum_Accuracy,14,FALSE))</f>
        <v>#VALUE!</v>
      </c>
      <c r="E572" s="55" t="e">
        <f>0.2*AVERAGE(VLOOKUP(Exam_21,Sum_Accuracy,13,FALSE),VLOOKUP(Exam_21,Sum_Accuracy,14,FALSE))</f>
        <v>#VALUE!</v>
      </c>
      <c r="F572" s="55" t="e">
        <f>0.2*AVERAGE(VLOOKUP(Exam_21,Sum_Accuracy,13,FALSE),VLOOKUP(Exam_21,Sum_Accuracy,14,FALSE))</f>
        <v>#VALUE!</v>
      </c>
      <c r="G572" s="55" t="e">
        <f>0.2*AVERAGE(VLOOKUP(Exam_21,Sum_Accuracy,13,FALSE),VLOOKUP(Exam_21,Sum_Accuracy,14,FALSE))</f>
        <v>#VALUE!</v>
      </c>
    </row>
    <row r="573" spans="2:7" ht="13.5" customHeight="1">
      <c r="B573" s="51" t="s">
        <v>65</v>
      </c>
      <c r="C573" s="55" t="e">
        <f>0.2*AVERAGE(VLOOKUP(Exam_21,Sum_Accuracy,15,FALSE),VLOOKUP(Exam_21,Sum_Accuracy,16,FALSE))</f>
        <v>#VALUE!</v>
      </c>
      <c r="D573" s="55" t="e">
        <f>0.2*AVERAGE(VLOOKUP(Exam_21,Sum_Accuracy,15,FALSE),VLOOKUP(Exam_21,Sum_Accuracy,16,FALSE))</f>
        <v>#VALUE!</v>
      </c>
      <c r="E573" s="55" t="e">
        <f>0.2*AVERAGE(VLOOKUP(Exam_21,Sum_Accuracy,15,FALSE),VLOOKUP(Exam_21,Sum_Accuracy,16,FALSE))</f>
        <v>#VALUE!</v>
      </c>
      <c r="F573" s="55" t="e">
        <f>0.2*AVERAGE(VLOOKUP(Exam_21,Sum_Accuracy,15,FALSE),VLOOKUP(Exam_21,Sum_Accuracy,16,FALSE))</f>
        <v>#VALUE!</v>
      </c>
      <c r="G573" s="55" t="e">
        <f>0.2*AVERAGE(VLOOKUP(Exam_21,Sum_Accuracy,15,FALSE),VLOOKUP(Exam_21,Sum_Accuracy,16,FALSE))</f>
        <v>#VALUE!</v>
      </c>
    </row>
    <row r="574" spans="2:7" ht="13.5" customHeight="1">
      <c r="B574" s="51" t="s">
        <v>66</v>
      </c>
      <c r="C574" s="55" t="e">
        <f>VLOOKUP(Exam_21,Sum_Accuracy,8,FALSE)/5</f>
        <v>#VALUE!</v>
      </c>
      <c r="D574" s="55" t="e">
        <f>VLOOKUP(Exam_21,Sum_Accuracy,8,FALSE)/5</f>
        <v>#VALUE!</v>
      </c>
      <c r="E574" s="55" t="e">
        <f>VLOOKUP(Exam_21,Sum_Accuracy,8,FALSE)/5</f>
        <v>#VALUE!</v>
      </c>
      <c r="F574" s="55" t="e">
        <f>VLOOKUP(Exam_21,Sum_Accuracy,8,FALSE)/5</f>
        <v>#VALUE!</v>
      </c>
      <c r="G574" s="55" t="e">
        <f>VLOOKUP(Exam_21,Sum_Accuracy,8,FALSE)/5</f>
        <v>#VALUE!</v>
      </c>
    </row>
    <row r="575" spans="2:7" ht="13.5" customHeight="1">
      <c r="B575" s="241"/>
      <c r="C575" s="241"/>
      <c r="D575" s="241"/>
      <c r="E575" s="241"/>
      <c r="F575" s="241"/>
      <c r="G575" s="241"/>
    </row>
    <row r="577" spans="2:7" ht="13.5" customHeight="1">
      <c r="B577" s="245" t="s">
        <v>67</v>
      </c>
      <c r="C577" s="245"/>
      <c r="D577" s="245"/>
      <c r="E577" s="245"/>
      <c r="F577" s="245"/>
      <c r="G577" s="245"/>
    </row>
    <row r="578" spans="2:7" ht="13.5" customHeight="1">
      <c r="B578" s="246"/>
      <c r="C578" s="246"/>
      <c r="D578" s="246"/>
      <c r="E578" s="246"/>
      <c r="F578" s="246"/>
      <c r="G578" s="246"/>
    </row>
    <row r="579" spans="2:7" ht="13.5" customHeight="1">
      <c r="B579" s="52" t="s">
        <v>71</v>
      </c>
      <c r="C579" s="242" t="str">
        <f>BeerName1</f>
        <v>Style1</v>
      </c>
      <c r="D579" s="242"/>
      <c r="E579" s="242"/>
      <c r="F579" s="242"/>
      <c r="G579" s="242"/>
    </row>
    <row r="580" spans="2:7" ht="13.5" customHeight="1">
      <c r="B580" s="241"/>
      <c r="C580" s="241"/>
      <c r="D580" s="241"/>
      <c r="E580" s="241"/>
      <c r="F580" s="241"/>
      <c r="G580" s="241"/>
    </row>
    <row r="581" spans="2:7" ht="13.5" customHeight="1">
      <c r="B581" s="50" t="s">
        <v>68</v>
      </c>
      <c r="C581" s="54" t="s">
        <v>58</v>
      </c>
      <c r="D581" s="54" t="s">
        <v>59</v>
      </c>
      <c r="E581" s="54" t="s">
        <v>60</v>
      </c>
      <c r="F581" s="54" t="s">
        <v>61</v>
      </c>
      <c r="G581" s="54" t="s">
        <v>62</v>
      </c>
    </row>
    <row r="582" spans="2:7" ht="13.5" customHeight="1">
      <c r="B582" s="51" t="s">
        <v>63</v>
      </c>
      <c r="C582" s="55">
        <f>VLOOKUP(Exam_21,AverageScores,b1_perception,FALSE)</f>
        <v>0</v>
      </c>
      <c r="D582" s="55">
        <f>VLOOKUP(Exam_21,AverageScores,b1_perception,FALSE)</f>
        <v>0</v>
      </c>
      <c r="E582" s="55">
        <f>VLOOKUP(Exam_21,AverageScores,b1_perception,FALSE)</f>
        <v>0</v>
      </c>
      <c r="F582" s="55">
        <f>VLOOKUP(Exam_21,AverageScores,b1_perception,FALSE)</f>
        <v>0</v>
      </c>
      <c r="G582" s="55">
        <f>VLOOKUP(Exam_21,AverageScores,b1_perception,FALSE)</f>
        <v>0</v>
      </c>
    </row>
    <row r="583" spans="2:7" ht="13.5" customHeight="1">
      <c r="B583" s="51" t="s">
        <v>69</v>
      </c>
      <c r="C583" s="55">
        <f>VLOOKUP(Exam_21,AverageScores,b1_descriptive,FALSE)</f>
        <v>0</v>
      </c>
      <c r="D583" s="55">
        <f>VLOOKUP(Exam_21,AverageScores,b1_descriptive,FALSE)</f>
        <v>0</v>
      </c>
      <c r="E583" s="55">
        <f>VLOOKUP(Exam_21,AverageScores,b1_descriptive,FALSE)</f>
        <v>0</v>
      </c>
      <c r="F583" s="55">
        <f>VLOOKUP(Exam_21,AverageScores,b1_descriptive,FALSE)</f>
        <v>0</v>
      </c>
      <c r="G583" s="55">
        <f>VLOOKUP(Exam_21,AverageScores,b1_descriptive,FALSE)</f>
        <v>0</v>
      </c>
    </row>
    <row r="584" spans="2:7" ht="13.5" customHeight="1">
      <c r="B584" s="51" t="s">
        <v>64</v>
      </c>
      <c r="C584" s="55">
        <f>VLOOKUP(Exam_21,AverageScores,b1_feedback,FALSE)</f>
        <v>0</v>
      </c>
      <c r="D584" s="55">
        <f>VLOOKUP(Exam_21,AverageScores,b1_feedback,FALSE)</f>
        <v>0</v>
      </c>
      <c r="E584" s="55">
        <f>VLOOKUP(Exam_21,AverageScores,b1_feedback,FALSE)</f>
        <v>0</v>
      </c>
      <c r="F584" s="55">
        <f>VLOOKUP(Exam_21,AverageScores,b1_feedback,FALSE)</f>
        <v>0</v>
      </c>
      <c r="G584" s="55">
        <f>VLOOKUP(Exam_21,AverageScores,b1_feedback,FALSE)</f>
        <v>0</v>
      </c>
    </row>
    <row r="585" spans="2:7" ht="13.5" customHeight="1">
      <c r="B585" s="51" t="s">
        <v>65</v>
      </c>
      <c r="C585" s="55">
        <f>VLOOKUP(Exam_21,AverageScores,b1_completeness,FALSE)</f>
        <v>0</v>
      </c>
      <c r="D585" s="55">
        <f>VLOOKUP(Exam_21,AverageScores,b1_completeness,FALSE)</f>
        <v>0</v>
      </c>
      <c r="E585" s="55">
        <f>VLOOKUP(Exam_21,AverageScores,b1_completeness,FALSE)</f>
        <v>0</v>
      </c>
      <c r="F585" s="55">
        <f>VLOOKUP(Exam_21,AverageScores,b1_completeness,FALSE)</f>
        <v>0</v>
      </c>
      <c r="G585" s="55">
        <f>VLOOKUP(Exam_21,AverageScores,b1_completeness,FALSE)</f>
        <v>0</v>
      </c>
    </row>
    <row r="586" spans="2:7" ht="13.5" customHeight="1">
      <c r="B586" s="51" t="s">
        <v>66</v>
      </c>
      <c r="C586" s="55">
        <f>VLOOKUP(Exam_21,ScoringAccuracyTable,b1_accuracy,FALSE)</f>
      </c>
      <c r="D586" s="55">
        <f>VLOOKUP(Exam_21,ScoringAccuracyTable,b1_accuracy,FALSE)</f>
      </c>
      <c r="E586" s="55">
        <f>VLOOKUP(Exam_21,ScoringAccuracyTable,b1_accuracy,FALSE)</f>
      </c>
      <c r="F586" s="55">
        <f>VLOOKUP(Exam_21,ScoringAccuracyTable,b1_accuracy,FALSE)</f>
      </c>
      <c r="G586" s="55">
        <f>VLOOKUP(Exam_21,ScoringAccuracyTable,b1_accuracy,FALSE)</f>
      </c>
    </row>
    <row r="587" spans="2:7" ht="13.5" customHeight="1">
      <c r="B587" s="241"/>
      <c r="C587" s="241"/>
      <c r="D587" s="241"/>
      <c r="E587" s="241"/>
      <c r="F587" s="241"/>
      <c r="G587" s="241"/>
    </row>
    <row r="588" spans="2:7" ht="13.5" customHeight="1">
      <c r="B588" s="52" t="s">
        <v>72</v>
      </c>
      <c r="C588" s="242" t="str">
        <f>BeerName2</f>
        <v>Style2</v>
      </c>
      <c r="D588" s="242"/>
      <c r="E588" s="242"/>
      <c r="F588" s="242"/>
      <c r="G588" s="242"/>
    </row>
    <row r="589" spans="2:7" ht="13.5" customHeight="1">
      <c r="B589" s="247"/>
      <c r="C589" s="247"/>
      <c r="D589" s="247"/>
      <c r="E589" s="247"/>
      <c r="F589" s="247"/>
      <c r="G589" s="247"/>
    </row>
    <row r="590" spans="2:7" ht="13.5" customHeight="1">
      <c r="B590" s="50" t="s">
        <v>68</v>
      </c>
      <c r="C590" s="56" t="s">
        <v>58</v>
      </c>
      <c r="D590" s="56" t="s">
        <v>59</v>
      </c>
      <c r="E590" s="56" t="s">
        <v>60</v>
      </c>
      <c r="F590" s="56" t="s">
        <v>61</v>
      </c>
      <c r="G590" s="56" t="s">
        <v>62</v>
      </c>
    </row>
    <row r="591" spans="2:7" ht="13.5" customHeight="1">
      <c r="B591" s="51" t="s">
        <v>63</v>
      </c>
      <c r="C591" s="55">
        <f>VLOOKUP(Exam_21,AverageScores,b2_perceptive,FALSE)</f>
        <v>0</v>
      </c>
      <c r="D591" s="55">
        <f>VLOOKUP(Exam_21,AverageScores,b2_perceptive,FALSE)</f>
        <v>0</v>
      </c>
      <c r="E591" s="55">
        <f>VLOOKUP(Exam_21,AverageScores,b2_perceptive,FALSE)</f>
        <v>0</v>
      </c>
      <c r="F591" s="55">
        <f>VLOOKUP(Exam_21,AverageScores,b2_perceptive,FALSE)</f>
        <v>0</v>
      </c>
      <c r="G591" s="55">
        <f>VLOOKUP(Exam_21,AverageScores,b2_perceptive,FALSE)</f>
        <v>0</v>
      </c>
    </row>
    <row r="592" spans="2:7" ht="13.5" customHeight="1">
      <c r="B592" s="51" t="s">
        <v>69</v>
      </c>
      <c r="C592" s="55">
        <f>VLOOKUP(Exam_21,AverageScores,b2_descriptive,FALSE)</f>
        <v>0</v>
      </c>
      <c r="D592" s="55">
        <f>VLOOKUP(Exam_21,AverageScores,b2_descriptive,FALSE)</f>
        <v>0</v>
      </c>
      <c r="E592" s="55">
        <f>VLOOKUP(Exam_21,AverageScores,b2_descriptive,FALSE)</f>
        <v>0</v>
      </c>
      <c r="F592" s="55">
        <f>VLOOKUP(Exam_21,AverageScores,b2_descriptive,FALSE)</f>
        <v>0</v>
      </c>
      <c r="G592" s="55">
        <f>VLOOKUP(Exam_21,AverageScores,b2_descriptive,FALSE)</f>
        <v>0</v>
      </c>
    </row>
    <row r="593" spans="2:7" ht="13.5" customHeight="1">
      <c r="B593" s="51" t="s">
        <v>64</v>
      </c>
      <c r="C593" s="55">
        <f>VLOOKUP(Exam_21,AverageScores,b2_feedback,FALSE)</f>
        <v>0</v>
      </c>
      <c r="D593" s="55">
        <f>VLOOKUP(Exam_21,AverageScores,b2_feedback,FALSE)</f>
        <v>0</v>
      </c>
      <c r="E593" s="55">
        <f>VLOOKUP(Exam_21,AverageScores,b2_feedback,FALSE)</f>
        <v>0</v>
      </c>
      <c r="F593" s="55">
        <f>VLOOKUP(Exam_21,AverageScores,b2_feedback,FALSE)</f>
        <v>0</v>
      </c>
      <c r="G593" s="55">
        <f>VLOOKUP(Exam_21,AverageScores,b2_feedback,FALSE)</f>
        <v>0</v>
      </c>
    </row>
    <row r="594" spans="2:7" ht="13.5" customHeight="1">
      <c r="B594" s="51" t="s">
        <v>65</v>
      </c>
      <c r="C594" s="55">
        <f>VLOOKUP(Exam_21,AverageScores,b2_completeness,FALSE)</f>
        <v>0</v>
      </c>
      <c r="D594" s="55">
        <f>VLOOKUP(Exam_21,AverageScores,b2_completeness,FALSE)</f>
        <v>0</v>
      </c>
      <c r="E594" s="55">
        <f>VLOOKUP(Exam_21,AverageScores,b2_completeness,FALSE)</f>
        <v>0</v>
      </c>
      <c r="F594" s="55">
        <f>VLOOKUP(Exam_21,AverageScores,b2_completeness,FALSE)</f>
        <v>0</v>
      </c>
      <c r="G594" s="55">
        <f>VLOOKUP(Exam_21,AverageScores,b2_completeness,FALSE)</f>
        <v>0</v>
      </c>
    </row>
    <row r="595" spans="2:7" ht="13.5" customHeight="1">
      <c r="B595" s="51" t="s">
        <v>66</v>
      </c>
      <c r="C595" s="55">
        <f>VLOOKUP(Exam_21,ScoringAccuracyTable,b2_accuracy,FALSE)</f>
      </c>
      <c r="D595" s="55">
        <f>VLOOKUP(Exam_21,ScoringAccuracyTable,b2_accuracy,FALSE)</f>
      </c>
      <c r="E595" s="55">
        <f>VLOOKUP(Exam_21,ScoringAccuracyTable,b2_accuracy,FALSE)</f>
      </c>
      <c r="F595" s="55">
        <f>VLOOKUP(Exam_21,ScoringAccuracyTable,b2_accuracy,FALSE)</f>
      </c>
      <c r="G595" s="55">
        <f>VLOOKUP(Exam_21,ScoringAccuracyTable,b2_accuracy,FALSE)</f>
      </c>
    </row>
    <row r="596" spans="2:7" ht="13.5" customHeight="1">
      <c r="B596" s="241"/>
      <c r="C596" s="241"/>
      <c r="D596" s="241"/>
      <c r="E596" s="241"/>
      <c r="F596" s="241"/>
      <c r="G596" s="241"/>
    </row>
    <row r="597" spans="2:7" ht="13.5" customHeight="1">
      <c r="B597" s="52" t="s">
        <v>76</v>
      </c>
      <c r="C597" s="242" t="str">
        <f>BeerName3</f>
        <v>Style3</v>
      </c>
      <c r="D597" s="242"/>
      <c r="E597" s="242"/>
      <c r="F597" s="242"/>
      <c r="G597" s="242"/>
    </row>
    <row r="598" spans="2:7" ht="13.5" customHeight="1">
      <c r="B598" s="247"/>
      <c r="C598" s="247"/>
      <c r="D598" s="247"/>
      <c r="E598" s="247"/>
      <c r="F598" s="247"/>
      <c r="G598" s="247"/>
    </row>
    <row r="599" spans="2:7" ht="13.5" customHeight="1">
      <c r="B599" s="50" t="s">
        <v>68</v>
      </c>
      <c r="C599" s="54" t="s">
        <v>58</v>
      </c>
      <c r="D599" s="54" t="s">
        <v>59</v>
      </c>
      <c r="E599" s="54" t="s">
        <v>60</v>
      </c>
      <c r="F599" s="54" t="s">
        <v>61</v>
      </c>
      <c r="G599" s="54" t="s">
        <v>62</v>
      </c>
    </row>
    <row r="600" spans="2:7" ht="13.5" customHeight="1">
      <c r="B600" s="51" t="s">
        <v>63</v>
      </c>
      <c r="C600" s="55">
        <f>VLOOKUP(Exam_21,AverageScores,b3_perception,FALSE)</f>
        <v>0</v>
      </c>
      <c r="D600" s="55">
        <f>VLOOKUP(Exam_21,AverageScores,b3_perception,FALSE)</f>
        <v>0</v>
      </c>
      <c r="E600" s="55">
        <f>VLOOKUP(Exam_21,AverageScores,b3_perception,FALSE)</f>
        <v>0</v>
      </c>
      <c r="F600" s="55">
        <f>VLOOKUP(Exam_21,AverageScores,b3_perception,FALSE)</f>
        <v>0</v>
      </c>
      <c r="G600" s="55">
        <f>VLOOKUP(Exam_21,AverageScores,b3_perception,FALSE)</f>
        <v>0</v>
      </c>
    </row>
    <row r="601" spans="2:7" ht="13.5" customHeight="1">
      <c r="B601" s="51" t="s">
        <v>69</v>
      </c>
      <c r="C601" s="55">
        <f>VLOOKUP(Exam_21,AverageScores,b3_descriptive,FALSE)</f>
        <v>0</v>
      </c>
      <c r="D601" s="55">
        <f>VLOOKUP(Exam_21,AverageScores,b3_descriptive,FALSE)</f>
        <v>0</v>
      </c>
      <c r="E601" s="55">
        <f>VLOOKUP(Exam_21,AverageScores,b3_descriptive,FALSE)</f>
        <v>0</v>
      </c>
      <c r="F601" s="55">
        <f>VLOOKUP(Exam_21,AverageScores,b3_descriptive,FALSE)</f>
        <v>0</v>
      </c>
      <c r="G601" s="55">
        <f>VLOOKUP(Exam_21,AverageScores,b3_descriptive,FALSE)</f>
        <v>0</v>
      </c>
    </row>
    <row r="602" spans="2:7" ht="13.5" customHeight="1">
      <c r="B602" s="51" t="s">
        <v>64</v>
      </c>
      <c r="C602" s="55">
        <f>VLOOKUP(Exam_21,AverageScores,b3_feedback,FALSE)</f>
        <v>0</v>
      </c>
      <c r="D602" s="55">
        <f>VLOOKUP(Exam_21,AverageScores,b3_feedback,FALSE)</f>
        <v>0</v>
      </c>
      <c r="E602" s="55">
        <f>VLOOKUP(Exam_21,AverageScores,b3_feedback,FALSE)</f>
        <v>0</v>
      </c>
      <c r="F602" s="55">
        <f>VLOOKUP(Exam_21,AverageScores,b3_feedback,FALSE)</f>
        <v>0</v>
      </c>
      <c r="G602" s="55">
        <f>VLOOKUP(Exam_21,AverageScores,b3_feedback,FALSE)</f>
        <v>0</v>
      </c>
    </row>
    <row r="603" spans="2:7" ht="13.5" customHeight="1">
      <c r="B603" s="51" t="s">
        <v>65</v>
      </c>
      <c r="C603" s="55">
        <f>VLOOKUP(Exam_21,AverageScores,b3_completeness,FALSE)</f>
        <v>0</v>
      </c>
      <c r="D603" s="55">
        <f>VLOOKUP(Exam_21,AverageScores,b3_completeness,FALSE)</f>
        <v>0</v>
      </c>
      <c r="E603" s="55">
        <f>VLOOKUP(Exam_21,AverageScores,b3_completeness,FALSE)</f>
        <v>0</v>
      </c>
      <c r="F603" s="55">
        <f>VLOOKUP(Exam_21,AverageScores,b3_completeness,FALSE)</f>
        <v>0</v>
      </c>
      <c r="G603" s="55">
        <f>VLOOKUP(Exam_21,AverageScores,b3_completeness,FALSE)</f>
        <v>0</v>
      </c>
    </row>
    <row r="604" spans="2:7" ht="13.5" customHeight="1">
      <c r="B604" s="51" t="s">
        <v>66</v>
      </c>
      <c r="C604" s="55">
        <f>VLOOKUP(Exam_21,ScoringAccuracyTable,b3_accuracy,FALSE)</f>
      </c>
      <c r="D604" s="55">
        <f>VLOOKUP(Exam_21,ScoringAccuracyTable,b3_accuracy,FALSE)</f>
      </c>
      <c r="E604" s="55">
        <f>VLOOKUP(Exam_21,ScoringAccuracyTable,b3_accuracy,FALSE)</f>
      </c>
      <c r="F604" s="55">
        <f>VLOOKUP(Exam_21,ScoringAccuracyTable,b3_accuracy,FALSE)</f>
      </c>
      <c r="G604" s="55">
        <f>VLOOKUP(Exam_21,ScoringAccuracyTable,b3_accuracy,FALSE)</f>
      </c>
    </row>
    <row r="605" spans="2:7" ht="13.5" customHeight="1">
      <c r="B605" s="241"/>
      <c r="C605" s="241"/>
      <c r="D605" s="241"/>
      <c r="E605" s="241"/>
      <c r="F605" s="241"/>
      <c r="G605" s="241"/>
    </row>
    <row r="606" spans="2:7" ht="13.5" customHeight="1">
      <c r="B606" s="52" t="s">
        <v>75</v>
      </c>
      <c r="C606" s="242" t="str">
        <f>BeerName4</f>
        <v>Style4</v>
      </c>
      <c r="D606" s="242"/>
      <c r="E606" s="242"/>
      <c r="F606" s="242"/>
      <c r="G606" s="242"/>
    </row>
    <row r="607" spans="2:7" ht="13.5" customHeight="1">
      <c r="B607" s="241"/>
      <c r="C607" s="241"/>
      <c r="D607" s="241"/>
      <c r="E607" s="241"/>
      <c r="F607" s="241"/>
      <c r="G607" s="241"/>
    </row>
    <row r="608" spans="2:7" ht="13.5" customHeight="1">
      <c r="B608" s="50" t="s">
        <v>68</v>
      </c>
      <c r="C608" s="54" t="s">
        <v>58</v>
      </c>
      <c r="D608" s="54" t="s">
        <v>59</v>
      </c>
      <c r="E608" s="54" t="s">
        <v>60</v>
      </c>
      <c r="F608" s="54" t="s">
        <v>61</v>
      </c>
      <c r="G608" s="54" t="s">
        <v>62</v>
      </c>
    </row>
    <row r="609" spans="2:7" ht="13.5" customHeight="1">
      <c r="B609" s="51" t="s">
        <v>63</v>
      </c>
      <c r="C609" s="55">
        <f>VLOOKUP(Exam_21,AverageScores,b4_perception,FALSE)</f>
        <v>0</v>
      </c>
      <c r="D609" s="55">
        <f>VLOOKUP(Exam_21,AverageScores,b4_perception,FALSE)</f>
        <v>0</v>
      </c>
      <c r="E609" s="55">
        <f>VLOOKUP(Exam_21,AverageScores,b4_perception,FALSE)</f>
        <v>0</v>
      </c>
      <c r="F609" s="55">
        <f>VLOOKUP(Exam_21,AverageScores,b4_perception,FALSE)</f>
        <v>0</v>
      </c>
      <c r="G609" s="55">
        <f>VLOOKUP(Exam_21,AverageScores,b4_perception,FALSE)</f>
        <v>0</v>
      </c>
    </row>
    <row r="610" spans="2:7" ht="13.5" customHeight="1">
      <c r="B610" s="51" t="s">
        <v>69</v>
      </c>
      <c r="C610" s="55">
        <f>VLOOKUP(Exam_21,AverageScores,b4_descriptive,FALSE)</f>
        <v>0</v>
      </c>
      <c r="D610" s="55">
        <f>VLOOKUP(Exam_21,AverageScores,b4_descriptive,FALSE)</f>
        <v>0</v>
      </c>
      <c r="E610" s="55">
        <f>VLOOKUP(Exam_21,AverageScores,b4_descriptive,FALSE)</f>
        <v>0</v>
      </c>
      <c r="F610" s="55">
        <f>VLOOKUP(Exam_21,AverageScores,b4_descriptive,FALSE)</f>
        <v>0</v>
      </c>
      <c r="G610" s="55">
        <f>VLOOKUP(Exam_21,AverageScores,b4_descriptive,FALSE)</f>
        <v>0</v>
      </c>
    </row>
    <row r="611" spans="2:7" ht="13.5" customHeight="1">
      <c r="B611" s="51" t="s">
        <v>64</v>
      </c>
      <c r="C611" s="55">
        <f>VLOOKUP(Exam_21,AverageScores,b4_feedback,FALSE)</f>
        <v>0</v>
      </c>
      <c r="D611" s="55">
        <f>VLOOKUP(Exam_21,AverageScores,b4_feedback,FALSE)</f>
        <v>0</v>
      </c>
      <c r="E611" s="55">
        <f>VLOOKUP(Exam_21,AverageScores,b4_feedback,FALSE)</f>
        <v>0</v>
      </c>
      <c r="F611" s="55">
        <f>VLOOKUP(Exam_21,AverageScores,b4_feedback,FALSE)</f>
        <v>0</v>
      </c>
      <c r="G611" s="55">
        <f>VLOOKUP(Exam_21,AverageScores,b4_feedback,FALSE)</f>
        <v>0</v>
      </c>
    </row>
    <row r="612" spans="2:7" ht="13.5" customHeight="1">
      <c r="B612" s="51" t="s">
        <v>65</v>
      </c>
      <c r="C612" s="55">
        <f>VLOOKUP(Exam_21,AverageScores,b4_completeness,FALSE)</f>
        <v>0</v>
      </c>
      <c r="D612" s="55">
        <f>VLOOKUP(Exam_21,AverageScores,b4_completeness,FALSE)</f>
        <v>0</v>
      </c>
      <c r="E612" s="55">
        <f>VLOOKUP(Exam_21,AverageScores,b4_completeness,FALSE)</f>
        <v>0</v>
      </c>
      <c r="F612" s="55">
        <f>VLOOKUP(Exam_21,AverageScores,b4_completeness,FALSE)</f>
        <v>0</v>
      </c>
      <c r="G612" s="55">
        <f>VLOOKUP(Exam_21,AverageScores,b4_completeness,FALSE)</f>
        <v>0</v>
      </c>
    </row>
    <row r="613" spans="2:7" ht="13.5" customHeight="1">
      <c r="B613" s="51" t="s">
        <v>66</v>
      </c>
      <c r="C613" s="55">
        <f>VLOOKUP(Exam_21,ScoringAccuracyTable,b4_accuracy,FALSE)</f>
      </c>
      <c r="D613" s="55">
        <f>VLOOKUP(Exam_21,ScoringAccuracyTable,b4_accuracy,FALSE)</f>
      </c>
      <c r="E613" s="55">
        <f>VLOOKUP(Exam_21,ScoringAccuracyTable,b4_accuracy,FALSE)</f>
      </c>
      <c r="F613" s="55">
        <f>VLOOKUP(Exam_21,ScoringAccuracyTable,b4_accuracy,FALSE)</f>
      </c>
      <c r="G613" s="55">
        <f>VLOOKUP(Exam_21,ScoringAccuracyTable,b4_accuracy,FALSE)</f>
      </c>
    </row>
    <row r="614" spans="2:7" ht="13.5" customHeight="1">
      <c r="B614" s="241"/>
      <c r="C614" s="241"/>
      <c r="D614" s="241"/>
      <c r="E614" s="241"/>
      <c r="F614" s="241"/>
      <c r="G614" s="241"/>
    </row>
    <row r="619" spans="2:7" ht="13.5" customHeight="1">
      <c r="B619" s="52" t="s">
        <v>74</v>
      </c>
      <c r="C619" s="242" t="str">
        <f>BeerName5</f>
        <v>Style5</v>
      </c>
      <c r="D619" s="242"/>
      <c r="E619" s="242"/>
      <c r="F619" s="242"/>
      <c r="G619" s="242"/>
    </row>
    <row r="620" spans="2:7" ht="13.5" customHeight="1">
      <c r="B620" s="241"/>
      <c r="C620" s="241"/>
      <c r="D620" s="241"/>
      <c r="E620" s="241"/>
      <c r="F620" s="241"/>
      <c r="G620" s="241"/>
    </row>
    <row r="621" spans="2:7" ht="13.5" customHeight="1">
      <c r="B621" s="50" t="s">
        <v>68</v>
      </c>
      <c r="C621" s="54" t="s">
        <v>58</v>
      </c>
      <c r="D621" s="54" t="s">
        <v>59</v>
      </c>
      <c r="E621" s="54" t="s">
        <v>60</v>
      </c>
      <c r="F621" s="54" t="s">
        <v>61</v>
      </c>
      <c r="G621" s="54" t="s">
        <v>62</v>
      </c>
    </row>
    <row r="622" spans="2:7" ht="13.5" customHeight="1">
      <c r="B622" s="51" t="s">
        <v>63</v>
      </c>
      <c r="C622" s="55">
        <f>VLOOKUP(Exam_21,AverageScores,b5_perception,FALSE)</f>
        <v>0</v>
      </c>
      <c r="D622" s="55">
        <f>VLOOKUP(Exam_21,AverageScores,b5_perception,FALSE)</f>
        <v>0</v>
      </c>
      <c r="E622" s="55">
        <f>VLOOKUP(Exam_21,AverageScores,b5_perception,FALSE)</f>
        <v>0</v>
      </c>
      <c r="F622" s="55">
        <f>VLOOKUP(Exam_21,AverageScores,b5_perception,FALSE)</f>
        <v>0</v>
      </c>
      <c r="G622" s="55">
        <f>VLOOKUP(Exam_21,AverageScores,b5_perception,FALSE)</f>
        <v>0</v>
      </c>
    </row>
    <row r="623" spans="2:7" ht="13.5" customHeight="1">
      <c r="B623" s="51" t="s">
        <v>69</v>
      </c>
      <c r="C623" s="55">
        <f>VLOOKUP(Exam_21,AverageScores,b5_descriptive,FALSE)</f>
        <v>0</v>
      </c>
      <c r="D623" s="55">
        <f>VLOOKUP(Exam_21,AverageScores,b5_descriptive,FALSE)</f>
        <v>0</v>
      </c>
      <c r="E623" s="55">
        <f>VLOOKUP(Exam_21,AverageScores,b5_descriptive,FALSE)</f>
        <v>0</v>
      </c>
      <c r="F623" s="55">
        <f>VLOOKUP(Exam_21,AverageScores,b5_descriptive,FALSE)</f>
        <v>0</v>
      </c>
      <c r="G623" s="55">
        <f>VLOOKUP(Exam_21,AverageScores,b5_descriptive,FALSE)</f>
        <v>0</v>
      </c>
    </row>
    <row r="624" spans="2:7" ht="13.5" customHeight="1">
      <c r="B624" s="51" t="s">
        <v>64</v>
      </c>
      <c r="C624" s="55">
        <f>VLOOKUP(Exam_21,AverageScores,b5_feedback,FALSE)</f>
        <v>0</v>
      </c>
      <c r="D624" s="55">
        <f>VLOOKUP(Exam_21,AverageScores,b5_feedback,FALSE)</f>
        <v>0</v>
      </c>
      <c r="E624" s="55">
        <f>VLOOKUP(Exam_21,AverageScores,b5_feedback,FALSE)</f>
        <v>0</v>
      </c>
      <c r="F624" s="55">
        <f>VLOOKUP(Exam_21,AverageScores,b5_feedback,FALSE)</f>
        <v>0</v>
      </c>
      <c r="G624" s="55">
        <f>VLOOKUP(Exam_21,AverageScores,b5_feedback,FALSE)</f>
        <v>0</v>
      </c>
    </row>
    <row r="625" spans="2:7" ht="13.5" customHeight="1">
      <c r="B625" s="51" t="s">
        <v>65</v>
      </c>
      <c r="C625" s="55">
        <f>VLOOKUP(Exam_21,AverageScores,b5_completeness,FALSE)</f>
        <v>0</v>
      </c>
      <c r="D625" s="55">
        <f>VLOOKUP(Exam_21,AverageScores,b5_completeness,FALSE)</f>
        <v>0</v>
      </c>
      <c r="E625" s="55">
        <f>VLOOKUP(Exam_21,AverageScores,b5_completeness,FALSE)</f>
        <v>0</v>
      </c>
      <c r="F625" s="55">
        <f>VLOOKUP(Exam_21,AverageScores,b5_completeness,FALSE)</f>
        <v>0</v>
      </c>
      <c r="G625" s="55">
        <f>VLOOKUP(Exam_21,AverageScores,b5_completeness,FALSE)</f>
        <v>0</v>
      </c>
    </row>
    <row r="626" spans="2:7" ht="13.5" customHeight="1">
      <c r="B626" s="51" t="s">
        <v>66</v>
      </c>
      <c r="C626" s="55">
        <f>VLOOKUP(Exam_21,ScoringAccuracyTable,b5_accuracy,FALSE)</f>
      </c>
      <c r="D626" s="55">
        <f>VLOOKUP(Exam_21,ScoringAccuracyTable,b5_accuracy,FALSE)</f>
      </c>
      <c r="E626" s="55">
        <f>VLOOKUP(Exam_21,ScoringAccuracyTable,b5_accuracy,FALSE)</f>
      </c>
      <c r="F626" s="55">
        <f>VLOOKUP(Exam_21,ScoringAccuracyTable,b5_accuracy,FALSE)</f>
      </c>
      <c r="G626" s="55">
        <f>VLOOKUP(Exam_21,ScoringAccuracyTable,b5_accuracy,FALSE)</f>
      </c>
    </row>
    <row r="627" spans="2:7" ht="13.5" customHeight="1">
      <c r="B627" s="241"/>
      <c r="C627" s="241"/>
      <c r="D627" s="241"/>
      <c r="E627" s="241"/>
      <c r="F627" s="241"/>
      <c r="G627" s="241"/>
    </row>
    <row r="628" spans="2:7" ht="13.5" customHeight="1">
      <c r="B628" s="52" t="s">
        <v>73</v>
      </c>
      <c r="C628" s="242" t="str">
        <f>BeerName6</f>
        <v>Style6</v>
      </c>
      <c r="D628" s="242"/>
      <c r="E628" s="242"/>
      <c r="F628" s="242"/>
      <c r="G628" s="242"/>
    </row>
    <row r="629" spans="2:7" ht="13.5" customHeight="1">
      <c r="B629" s="241"/>
      <c r="C629" s="241"/>
      <c r="D629" s="241"/>
      <c r="E629" s="241"/>
      <c r="F629" s="241"/>
      <c r="G629" s="241"/>
    </row>
    <row r="630" spans="2:7" ht="13.5" customHeight="1">
      <c r="B630" s="50" t="s">
        <v>68</v>
      </c>
      <c r="C630" s="54" t="s">
        <v>58</v>
      </c>
      <c r="D630" s="54" t="s">
        <v>59</v>
      </c>
      <c r="E630" s="54" t="s">
        <v>60</v>
      </c>
      <c r="F630" s="54" t="s">
        <v>61</v>
      </c>
      <c r="G630" s="54" t="s">
        <v>62</v>
      </c>
    </row>
    <row r="631" spans="2:7" ht="13.5" customHeight="1">
      <c r="B631" s="51" t="s">
        <v>63</v>
      </c>
      <c r="C631" s="55">
        <f>VLOOKUP(Exam_21,AverageScores,b6_perception,FALSE)</f>
        <v>0</v>
      </c>
      <c r="D631" s="55">
        <f>VLOOKUP(Exam_21,AverageScores,b6_perception,FALSE)</f>
        <v>0</v>
      </c>
      <c r="E631" s="55">
        <f>VLOOKUP(Exam_21,AverageScores,b6_perception,FALSE)</f>
        <v>0</v>
      </c>
      <c r="F631" s="55">
        <f>VLOOKUP(Exam_21,AverageScores,b6_perception,FALSE)</f>
        <v>0</v>
      </c>
      <c r="G631" s="55">
        <f>VLOOKUP(Exam_21,AverageScores,b6_perception,FALSE)</f>
        <v>0</v>
      </c>
    </row>
    <row r="632" spans="2:7" ht="13.5" customHeight="1">
      <c r="B632" s="51" t="s">
        <v>69</v>
      </c>
      <c r="C632" s="55">
        <f>VLOOKUP(Exam_21,AverageScores,b6_descriptive,FALSE)</f>
        <v>0</v>
      </c>
      <c r="D632" s="55">
        <f>VLOOKUP(Exam_21,AverageScores,b6_descriptive,FALSE)</f>
        <v>0</v>
      </c>
      <c r="E632" s="55">
        <f>VLOOKUP(Exam_21,AverageScores,b6_descriptive,FALSE)</f>
        <v>0</v>
      </c>
      <c r="F632" s="55">
        <f>VLOOKUP(Exam_21,AverageScores,b6_descriptive,FALSE)</f>
        <v>0</v>
      </c>
      <c r="G632" s="55">
        <f>VLOOKUP(Exam_21,AverageScores,b6_descriptive,FALSE)</f>
        <v>0</v>
      </c>
    </row>
    <row r="633" spans="2:7" ht="13.5" customHeight="1">
      <c r="B633" s="51" t="s">
        <v>64</v>
      </c>
      <c r="C633" s="55">
        <f>VLOOKUP(Exam_21,AverageScores,b6_feedback,FALSE)</f>
        <v>0</v>
      </c>
      <c r="D633" s="55">
        <f>VLOOKUP(Exam_21,AverageScores,b6_feedback,FALSE)</f>
        <v>0</v>
      </c>
      <c r="E633" s="55">
        <f>VLOOKUP(Exam_21,AverageScores,b6_feedback,FALSE)</f>
        <v>0</v>
      </c>
      <c r="F633" s="55">
        <f>VLOOKUP(Exam_21,AverageScores,b6_feedback,FALSE)</f>
        <v>0</v>
      </c>
      <c r="G633" s="55">
        <f>VLOOKUP(Exam_21,AverageScores,b6_feedback,FALSE)</f>
        <v>0</v>
      </c>
    </row>
    <row r="634" spans="2:7" ht="13.5" customHeight="1">
      <c r="B634" s="51" t="s">
        <v>65</v>
      </c>
      <c r="C634" s="55">
        <f>VLOOKUP(Exam_21,AverageScores,b6_completeness,FALSE)</f>
        <v>0</v>
      </c>
      <c r="D634" s="55">
        <f>VLOOKUP(Exam_21,AverageScores,b6_completeness,FALSE)</f>
        <v>0</v>
      </c>
      <c r="E634" s="55">
        <f>VLOOKUP(Exam_21,AverageScores,b6_completeness,FALSE)</f>
        <v>0</v>
      </c>
      <c r="F634" s="55">
        <f>VLOOKUP(Exam_21,AverageScores,b6_completeness,FALSE)</f>
        <v>0</v>
      </c>
      <c r="G634" s="55">
        <f>VLOOKUP(Exam_21,AverageScores,b6_completeness,FALSE)</f>
        <v>0</v>
      </c>
    </row>
    <row r="635" spans="2:7" ht="13.5" customHeight="1">
      <c r="B635" s="51" t="s">
        <v>66</v>
      </c>
      <c r="C635" s="55">
        <f>VLOOKUP(Exam_21,ScoringAccuracyTable,b6_accuracy,FALSE)</f>
      </c>
      <c r="D635" s="55">
        <f>VLOOKUP(Exam_21,ScoringAccuracyTable,b6_accuracy,FALSE)</f>
      </c>
      <c r="E635" s="55">
        <f>VLOOKUP(Exam_21,ScoringAccuracyTable,b6_accuracy,FALSE)</f>
      </c>
      <c r="F635" s="55">
        <f>VLOOKUP(Exam_21,ScoringAccuracyTable,b6_accuracy,FALSE)</f>
      </c>
      <c r="G635" s="55">
        <f>VLOOKUP(Exam_21,ScoringAccuracyTable,b6_accuracy,FALSE)</f>
      </c>
    </row>
    <row r="638" spans="1:7" ht="13.5" customHeight="1">
      <c r="A638" s="131" t="s">
        <v>18</v>
      </c>
      <c r="B638" s="243" t="s">
        <v>70</v>
      </c>
      <c r="C638" s="243"/>
      <c r="D638" s="243"/>
      <c r="E638" s="243"/>
      <c r="F638" s="243"/>
      <c r="G638" s="243"/>
    </row>
    <row r="639" spans="1:7" ht="13.5" customHeight="1">
      <c r="A639" s="132">
        <f>Exam_22</f>
        <v>22</v>
      </c>
      <c r="B639" s="244"/>
      <c r="C639" s="244"/>
      <c r="D639" s="244"/>
      <c r="E639" s="244"/>
      <c r="F639" s="244"/>
      <c r="G639" s="244"/>
    </row>
    <row r="640" spans="2:7" ht="13.5" customHeight="1">
      <c r="B640" s="50" t="s">
        <v>68</v>
      </c>
      <c r="C640" s="54" t="s">
        <v>58</v>
      </c>
      <c r="D640" s="54" t="s">
        <v>59</v>
      </c>
      <c r="E640" s="54" t="s">
        <v>60</v>
      </c>
      <c r="F640" s="54" t="s">
        <v>61</v>
      </c>
      <c r="G640" s="54" t="s">
        <v>62</v>
      </c>
    </row>
    <row r="641" spans="2:7" ht="13.5" customHeight="1">
      <c r="B641" s="51" t="s">
        <v>63</v>
      </c>
      <c r="C641" s="55" t="e">
        <f>0.2*AVERAGE(VLOOKUP(Exam_22,Sum_Accuracy,9,FALSE),VLOOKUP(Exam_22,Sum_Accuracy,10,FALSE))</f>
        <v>#VALUE!</v>
      </c>
      <c r="D641" s="55" t="e">
        <f>0.2*AVERAGE(VLOOKUP(Exam_22,Sum_Accuracy,9,FALSE),VLOOKUP(Exam_22,Sum_Accuracy,10,FALSE))</f>
        <v>#VALUE!</v>
      </c>
      <c r="E641" s="55" t="e">
        <f>0.2*AVERAGE(VLOOKUP(Exam_22,Sum_Accuracy,9,FALSE),VLOOKUP(Exam_22,Sum_Accuracy,10,FALSE))</f>
        <v>#VALUE!</v>
      </c>
      <c r="F641" s="55" t="e">
        <f>0.2*AVERAGE(VLOOKUP(Exam_22,Sum_Accuracy,9,FALSE),VLOOKUP(Exam_22,Sum_Accuracy,10,FALSE))</f>
        <v>#VALUE!</v>
      </c>
      <c r="G641" s="55" t="e">
        <f>0.2*AVERAGE(VLOOKUP(Exam_22,Sum_Accuracy,9,FALSE),VLOOKUP(Exam_22,Sum_Accuracy,10,FALSE))</f>
        <v>#VALUE!</v>
      </c>
    </row>
    <row r="642" spans="2:7" ht="13.5" customHeight="1">
      <c r="B642" s="51" t="s">
        <v>69</v>
      </c>
      <c r="C642" s="55" t="e">
        <f>0.2*AVERAGE(VLOOKUP(Exam_22,Sum_Accuracy,11,FALSE),VLOOKUP(Exam_22,Sum_Accuracy,12,FALSE))</f>
        <v>#VALUE!</v>
      </c>
      <c r="D642" s="55" t="e">
        <f>0.2*AVERAGE(VLOOKUP(Exam_22,Sum_Accuracy,11,FALSE),VLOOKUP(Exam_22,Sum_Accuracy,12,FALSE))</f>
        <v>#VALUE!</v>
      </c>
      <c r="E642" s="55" t="e">
        <f>0.2*AVERAGE(VLOOKUP(Exam_22,Sum_Accuracy,11,FALSE),VLOOKUP(Exam_22,Sum_Accuracy,12,FALSE))</f>
        <v>#VALUE!</v>
      </c>
      <c r="F642" s="55" t="e">
        <f>0.2*AVERAGE(VLOOKUP(Exam_22,Sum_Accuracy,11,FALSE),VLOOKUP(Exam_22,Sum_Accuracy,12,FALSE))</f>
        <v>#VALUE!</v>
      </c>
      <c r="G642" s="55" t="e">
        <f>0.2*AVERAGE(VLOOKUP(Exam_22,Sum_Accuracy,11,FALSE),VLOOKUP(Exam_22,Sum_Accuracy,12,FALSE))</f>
        <v>#VALUE!</v>
      </c>
    </row>
    <row r="643" spans="2:7" ht="13.5" customHeight="1">
      <c r="B643" s="51" t="s">
        <v>64</v>
      </c>
      <c r="C643" s="55" t="e">
        <f>0.2*AVERAGE(VLOOKUP(Exam_22,Sum_Accuracy,13,FALSE),VLOOKUP(Exam_22,Sum_Accuracy,14,FALSE))</f>
        <v>#VALUE!</v>
      </c>
      <c r="D643" s="55" t="e">
        <f>0.2*AVERAGE(VLOOKUP(Exam_22,Sum_Accuracy,13,FALSE),VLOOKUP(Exam_22,Sum_Accuracy,14,FALSE))</f>
        <v>#VALUE!</v>
      </c>
      <c r="E643" s="55" t="e">
        <f>0.2*AVERAGE(VLOOKUP(Exam_22,Sum_Accuracy,13,FALSE),VLOOKUP(Exam_22,Sum_Accuracy,14,FALSE))</f>
        <v>#VALUE!</v>
      </c>
      <c r="F643" s="55" t="e">
        <f>0.2*AVERAGE(VLOOKUP(Exam_22,Sum_Accuracy,13,FALSE),VLOOKUP(Exam_22,Sum_Accuracy,14,FALSE))</f>
        <v>#VALUE!</v>
      </c>
      <c r="G643" s="55" t="e">
        <f>0.2*AVERAGE(VLOOKUP(Exam_22,Sum_Accuracy,13,FALSE),VLOOKUP(Exam_22,Sum_Accuracy,14,FALSE))</f>
        <v>#VALUE!</v>
      </c>
    </row>
    <row r="644" spans="2:7" ht="13.5" customHeight="1">
      <c r="B644" s="51" t="s">
        <v>65</v>
      </c>
      <c r="C644" s="55" t="e">
        <f>0.2*AVERAGE(VLOOKUP(Exam_22,Sum_Accuracy,15,FALSE),VLOOKUP(Exam_22,Sum_Accuracy,16,FALSE))</f>
        <v>#VALUE!</v>
      </c>
      <c r="D644" s="55" t="e">
        <f>0.2*AVERAGE(VLOOKUP(Exam_22,Sum_Accuracy,15,FALSE),VLOOKUP(Exam_22,Sum_Accuracy,16,FALSE))</f>
        <v>#VALUE!</v>
      </c>
      <c r="E644" s="55" t="e">
        <f>0.2*AVERAGE(VLOOKUP(Exam_22,Sum_Accuracy,15,FALSE),VLOOKUP(Exam_22,Sum_Accuracy,16,FALSE))</f>
        <v>#VALUE!</v>
      </c>
      <c r="F644" s="55" t="e">
        <f>0.2*AVERAGE(VLOOKUP(Exam_22,Sum_Accuracy,15,FALSE),VLOOKUP(Exam_22,Sum_Accuracy,16,FALSE))</f>
        <v>#VALUE!</v>
      </c>
      <c r="G644" s="55" t="e">
        <f>0.2*AVERAGE(VLOOKUP(Exam_22,Sum_Accuracy,15,FALSE),VLOOKUP(Exam_22,Sum_Accuracy,16,FALSE))</f>
        <v>#VALUE!</v>
      </c>
    </row>
    <row r="645" spans="2:7" ht="13.5" customHeight="1">
      <c r="B645" s="51" t="s">
        <v>66</v>
      </c>
      <c r="C645" s="55" t="e">
        <f>VLOOKUP(Exam_22,Sum_Accuracy,8,FALSE)/5</f>
        <v>#VALUE!</v>
      </c>
      <c r="D645" s="55" t="e">
        <f>VLOOKUP(Exam_22,Sum_Accuracy,8,FALSE)/5</f>
        <v>#VALUE!</v>
      </c>
      <c r="E645" s="55" t="e">
        <f>VLOOKUP(Exam_22,Sum_Accuracy,8,FALSE)/5</f>
        <v>#VALUE!</v>
      </c>
      <c r="F645" s="55" t="e">
        <f>VLOOKUP(Exam_22,Sum_Accuracy,8,FALSE)/5</f>
        <v>#VALUE!</v>
      </c>
      <c r="G645" s="55" t="e">
        <f>VLOOKUP(Exam_22,Sum_Accuracy,8,FALSE)/5</f>
        <v>#VALUE!</v>
      </c>
    </row>
    <row r="646" spans="2:7" ht="13.5" customHeight="1">
      <c r="B646" s="241"/>
      <c r="C646" s="241"/>
      <c r="D646" s="241"/>
      <c r="E646" s="241"/>
      <c r="F646" s="241"/>
      <c r="G646" s="241"/>
    </row>
    <row r="648" spans="2:7" ht="13.5" customHeight="1">
      <c r="B648" s="245" t="s">
        <v>67</v>
      </c>
      <c r="C648" s="245"/>
      <c r="D648" s="245"/>
      <c r="E648" s="245"/>
      <c r="F648" s="245"/>
      <c r="G648" s="245"/>
    </row>
    <row r="649" spans="2:7" ht="13.5" customHeight="1">
      <c r="B649" s="246"/>
      <c r="C649" s="246"/>
      <c r="D649" s="246"/>
      <c r="E649" s="246"/>
      <c r="F649" s="246"/>
      <c r="G649" s="246"/>
    </row>
    <row r="650" spans="2:7" ht="13.5" customHeight="1">
      <c r="B650" s="52" t="s">
        <v>71</v>
      </c>
      <c r="C650" s="242" t="str">
        <f>BeerName1</f>
        <v>Style1</v>
      </c>
      <c r="D650" s="242"/>
      <c r="E650" s="242"/>
      <c r="F650" s="242"/>
      <c r="G650" s="242"/>
    </row>
    <row r="651" spans="2:7" ht="13.5" customHeight="1">
      <c r="B651" s="241"/>
      <c r="C651" s="241"/>
      <c r="D651" s="241"/>
      <c r="E651" s="241"/>
      <c r="F651" s="241"/>
      <c r="G651" s="241"/>
    </row>
    <row r="652" spans="2:7" ht="13.5" customHeight="1">
      <c r="B652" s="50" t="s">
        <v>68</v>
      </c>
      <c r="C652" s="54" t="s">
        <v>58</v>
      </c>
      <c r="D652" s="54" t="s">
        <v>59</v>
      </c>
      <c r="E652" s="54" t="s">
        <v>60</v>
      </c>
      <c r="F652" s="54" t="s">
        <v>61</v>
      </c>
      <c r="G652" s="54" t="s">
        <v>62</v>
      </c>
    </row>
    <row r="653" spans="2:7" ht="13.5" customHeight="1">
      <c r="B653" s="51" t="s">
        <v>63</v>
      </c>
      <c r="C653" s="55">
        <f>VLOOKUP(Exam_22,AverageScores,b1_perception,FALSE)</f>
        <v>0</v>
      </c>
      <c r="D653" s="55">
        <f>VLOOKUP(Exam_22,AverageScores,b1_perception,FALSE)</f>
        <v>0</v>
      </c>
      <c r="E653" s="55">
        <f>VLOOKUP(Exam_22,AverageScores,b1_perception,FALSE)</f>
        <v>0</v>
      </c>
      <c r="F653" s="55">
        <f>VLOOKUP(Exam_22,AverageScores,b1_perception,FALSE)</f>
        <v>0</v>
      </c>
      <c r="G653" s="55">
        <f>VLOOKUP(Exam_22,AverageScores,b1_perception,FALSE)</f>
        <v>0</v>
      </c>
    </row>
    <row r="654" spans="2:7" ht="13.5" customHeight="1">
      <c r="B654" s="51" t="s">
        <v>69</v>
      </c>
      <c r="C654" s="55">
        <f>VLOOKUP(Exam_22,AverageScores,b1_descriptive,FALSE)</f>
        <v>0</v>
      </c>
      <c r="D654" s="55">
        <f>VLOOKUP(Exam_22,AverageScores,b1_descriptive,FALSE)</f>
        <v>0</v>
      </c>
      <c r="E654" s="55">
        <f>VLOOKUP(Exam_22,AverageScores,b1_descriptive,FALSE)</f>
        <v>0</v>
      </c>
      <c r="F654" s="55">
        <f>VLOOKUP(Exam_22,AverageScores,b1_descriptive,FALSE)</f>
        <v>0</v>
      </c>
      <c r="G654" s="55">
        <f>VLOOKUP(Exam_22,AverageScores,b1_descriptive,FALSE)</f>
        <v>0</v>
      </c>
    </row>
    <row r="655" spans="2:7" ht="13.5" customHeight="1">
      <c r="B655" s="51" t="s">
        <v>64</v>
      </c>
      <c r="C655" s="55">
        <f>VLOOKUP(Exam_22,AverageScores,b1_feedback,FALSE)</f>
        <v>0</v>
      </c>
      <c r="D655" s="55">
        <f>VLOOKUP(Exam_22,AverageScores,b1_feedback,FALSE)</f>
        <v>0</v>
      </c>
      <c r="E655" s="55">
        <f>VLOOKUP(Exam_22,AverageScores,b1_feedback,FALSE)</f>
        <v>0</v>
      </c>
      <c r="F655" s="55">
        <f>VLOOKUP(Exam_22,AverageScores,b1_feedback,FALSE)</f>
        <v>0</v>
      </c>
      <c r="G655" s="55">
        <f>VLOOKUP(Exam_22,AverageScores,b1_feedback,FALSE)</f>
        <v>0</v>
      </c>
    </row>
    <row r="656" spans="2:7" ht="13.5" customHeight="1">
      <c r="B656" s="51" t="s">
        <v>65</v>
      </c>
      <c r="C656" s="55">
        <f>VLOOKUP(Exam_22,AverageScores,b1_completeness,FALSE)</f>
        <v>0</v>
      </c>
      <c r="D656" s="55">
        <f>VLOOKUP(Exam_22,AverageScores,b1_completeness,FALSE)</f>
        <v>0</v>
      </c>
      <c r="E656" s="55">
        <f>VLOOKUP(Exam_22,AverageScores,b1_completeness,FALSE)</f>
        <v>0</v>
      </c>
      <c r="F656" s="55">
        <f>VLOOKUP(Exam_22,AverageScores,b1_completeness,FALSE)</f>
        <v>0</v>
      </c>
      <c r="G656" s="55">
        <f>VLOOKUP(Exam_22,AverageScores,b1_completeness,FALSE)</f>
        <v>0</v>
      </c>
    </row>
    <row r="657" spans="2:7" ht="13.5" customHeight="1">
      <c r="B657" s="51" t="s">
        <v>66</v>
      </c>
      <c r="C657" s="55">
        <f>VLOOKUP(Exam_22,ScoringAccuracyTable,b1_accuracy,FALSE)</f>
      </c>
      <c r="D657" s="55">
        <f>VLOOKUP(Exam_22,ScoringAccuracyTable,b1_accuracy,FALSE)</f>
      </c>
      <c r="E657" s="55">
        <f>VLOOKUP(Exam_22,ScoringAccuracyTable,b1_accuracy,FALSE)</f>
      </c>
      <c r="F657" s="55">
        <f>VLOOKUP(Exam_22,ScoringAccuracyTable,b1_accuracy,FALSE)</f>
      </c>
      <c r="G657" s="55">
        <f>VLOOKUP(Exam_22,ScoringAccuracyTable,b1_accuracy,FALSE)</f>
      </c>
    </row>
    <row r="658" spans="2:7" ht="13.5" customHeight="1">
      <c r="B658" s="241"/>
      <c r="C658" s="241"/>
      <c r="D658" s="241"/>
      <c r="E658" s="241"/>
      <c r="F658" s="241"/>
      <c r="G658" s="241"/>
    </row>
    <row r="659" spans="2:7" ht="13.5" customHeight="1">
      <c r="B659" s="52" t="s">
        <v>72</v>
      </c>
      <c r="C659" s="242" t="str">
        <f>BeerName2</f>
        <v>Style2</v>
      </c>
      <c r="D659" s="242"/>
      <c r="E659" s="242"/>
      <c r="F659" s="242"/>
      <c r="G659" s="242"/>
    </row>
    <row r="660" spans="2:7" ht="13.5" customHeight="1">
      <c r="B660" s="247"/>
      <c r="C660" s="247"/>
      <c r="D660" s="247"/>
      <c r="E660" s="247"/>
      <c r="F660" s="247"/>
      <c r="G660" s="247"/>
    </row>
    <row r="661" spans="2:7" ht="13.5" customHeight="1">
      <c r="B661" s="50" t="s">
        <v>68</v>
      </c>
      <c r="C661" s="56" t="s">
        <v>58</v>
      </c>
      <c r="D661" s="56" t="s">
        <v>59</v>
      </c>
      <c r="E661" s="56" t="s">
        <v>60</v>
      </c>
      <c r="F661" s="56" t="s">
        <v>61</v>
      </c>
      <c r="G661" s="56" t="s">
        <v>62</v>
      </c>
    </row>
    <row r="662" spans="2:7" ht="13.5" customHeight="1">
      <c r="B662" s="51" t="s">
        <v>63</v>
      </c>
      <c r="C662" s="55">
        <f>VLOOKUP(Exam_22,AverageScores,b2_perceptive,FALSE)</f>
        <v>0</v>
      </c>
      <c r="D662" s="55">
        <f>VLOOKUP(Exam_22,AverageScores,b2_perceptive,FALSE)</f>
        <v>0</v>
      </c>
      <c r="E662" s="55">
        <f>VLOOKUP(Exam_22,AverageScores,b2_perceptive,FALSE)</f>
        <v>0</v>
      </c>
      <c r="F662" s="55">
        <f>VLOOKUP(Exam_22,AverageScores,b2_perceptive,FALSE)</f>
        <v>0</v>
      </c>
      <c r="G662" s="55">
        <f>VLOOKUP(Exam_22,AverageScores,b2_perceptive,FALSE)</f>
        <v>0</v>
      </c>
    </row>
    <row r="663" spans="2:7" ht="13.5" customHeight="1">
      <c r="B663" s="51" t="s">
        <v>69</v>
      </c>
      <c r="C663" s="55">
        <f>VLOOKUP(Exam_22,AverageScores,b2_descriptive,FALSE)</f>
        <v>0</v>
      </c>
      <c r="D663" s="55">
        <f>VLOOKUP(Exam_22,AverageScores,b2_descriptive,FALSE)</f>
        <v>0</v>
      </c>
      <c r="E663" s="55">
        <f>VLOOKUP(Exam_22,AverageScores,b2_descriptive,FALSE)</f>
        <v>0</v>
      </c>
      <c r="F663" s="55">
        <f>VLOOKUP(Exam_22,AverageScores,b2_descriptive,FALSE)</f>
        <v>0</v>
      </c>
      <c r="G663" s="55">
        <f>VLOOKUP(Exam_22,AverageScores,b2_descriptive,FALSE)</f>
        <v>0</v>
      </c>
    </row>
    <row r="664" spans="2:7" ht="13.5" customHeight="1">
      <c r="B664" s="51" t="s">
        <v>64</v>
      </c>
      <c r="C664" s="55">
        <f>VLOOKUP(Exam_22,AverageScores,b2_feedback,FALSE)</f>
        <v>0</v>
      </c>
      <c r="D664" s="55">
        <f>VLOOKUP(Exam_22,AverageScores,b2_feedback,FALSE)</f>
        <v>0</v>
      </c>
      <c r="E664" s="55">
        <f>VLOOKUP(Exam_22,AverageScores,b2_feedback,FALSE)</f>
        <v>0</v>
      </c>
      <c r="F664" s="55">
        <f>VLOOKUP(Exam_22,AverageScores,b2_feedback,FALSE)</f>
        <v>0</v>
      </c>
      <c r="G664" s="55">
        <f>VLOOKUP(Exam_22,AverageScores,b2_feedback,FALSE)</f>
        <v>0</v>
      </c>
    </row>
    <row r="665" spans="2:7" ht="13.5" customHeight="1">
      <c r="B665" s="51" t="s">
        <v>65</v>
      </c>
      <c r="C665" s="55">
        <f>VLOOKUP(Exam_22,AverageScores,b2_completeness,FALSE)</f>
        <v>0</v>
      </c>
      <c r="D665" s="55">
        <f>VLOOKUP(Exam_22,AverageScores,b2_completeness,FALSE)</f>
        <v>0</v>
      </c>
      <c r="E665" s="55">
        <f>VLOOKUP(Exam_22,AverageScores,b2_completeness,FALSE)</f>
        <v>0</v>
      </c>
      <c r="F665" s="55">
        <f>VLOOKUP(Exam_22,AverageScores,b2_completeness,FALSE)</f>
        <v>0</v>
      </c>
      <c r="G665" s="55">
        <f>VLOOKUP(Exam_22,AverageScores,b2_completeness,FALSE)</f>
        <v>0</v>
      </c>
    </row>
    <row r="666" spans="2:7" ht="13.5" customHeight="1">
      <c r="B666" s="51" t="s">
        <v>66</v>
      </c>
      <c r="C666" s="55">
        <f>VLOOKUP(Exam_22,ScoringAccuracyTable,b2_accuracy,FALSE)</f>
      </c>
      <c r="D666" s="55">
        <f>VLOOKUP(Exam_22,ScoringAccuracyTable,b2_accuracy,FALSE)</f>
      </c>
      <c r="E666" s="55">
        <f>VLOOKUP(Exam_22,ScoringAccuracyTable,b2_accuracy,FALSE)</f>
      </c>
      <c r="F666" s="55">
        <f>VLOOKUP(Exam_22,ScoringAccuracyTable,b2_accuracy,FALSE)</f>
      </c>
      <c r="G666" s="55">
        <f>VLOOKUP(Exam_22,ScoringAccuracyTable,b2_accuracy,FALSE)</f>
      </c>
    </row>
    <row r="667" spans="2:7" ht="13.5" customHeight="1">
      <c r="B667" s="241"/>
      <c r="C667" s="241"/>
      <c r="D667" s="241"/>
      <c r="E667" s="241"/>
      <c r="F667" s="241"/>
      <c r="G667" s="241"/>
    </row>
    <row r="668" spans="2:7" ht="13.5" customHeight="1">
      <c r="B668" s="52" t="s">
        <v>76</v>
      </c>
      <c r="C668" s="242" t="str">
        <f>BeerName3</f>
        <v>Style3</v>
      </c>
      <c r="D668" s="242"/>
      <c r="E668" s="242"/>
      <c r="F668" s="242"/>
      <c r="G668" s="242"/>
    </row>
    <row r="669" spans="2:7" ht="13.5" customHeight="1">
      <c r="B669" s="247"/>
      <c r="C669" s="247"/>
      <c r="D669" s="247"/>
      <c r="E669" s="247"/>
      <c r="F669" s="247"/>
      <c r="G669" s="247"/>
    </row>
    <row r="670" spans="2:7" ht="13.5" customHeight="1">
      <c r="B670" s="50" t="s">
        <v>68</v>
      </c>
      <c r="C670" s="54" t="s">
        <v>58</v>
      </c>
      <c r="D670" s="54" t="s">
        <v>59</v>
      </c>
      <c r="E670" s="54" t="s">
        <v>60</v>
      </c>
      <c r="F670" s="54" t="s">
        <v>61</v>
      </c>
      <c r="G670" s="54" t="s">
        <v>62</v>
      </c>
    </row>
    <row r="671" spans="2:7" ht="13.5" customHeight="1">
      <c r="B671" s="51" t="s">
        <v>63</v>
      </c>
      <c r="C671" s="55">
        <f>VLOOKUP(Exam_22,AverageScores,b3_perception,FALSE)</f>
        <v>0</v>
      </c>
      <c r="D671" s="55">
        <f>VLOOKUP(Exam_22,AverageScores,b3_perception,FALSE)</f>
        <v>0</v>
      </c>
      <c r="E671" s="55">
        <f>VLOOKUP(Exam_22,AverageScores,b3_perception,FALSE)</f>
        <v>0</v>
      </c>
      <c r="F671" s="55">
        <f>VLOOKUP(Exam_22,AverageScores,b3_perception,FALSE)</f>
        <v>0</v>
      </c>
      <c r="G671" s="55">
        <f>VLOOKUP(Exam_22,AverageScores,b3_perception,FALSE)</f>
        <v>0</v>
      </c>
    </row>
    <row r="672" spans="2:7" ht="13.5" customHeight="1">
      <c r="B672" s="51" t="s">
        <v>69</v>
      </c>
      <c r="C672" s="55">
        <f>VLOOKUP(Exam_22,AverageScores,b3_descriptive,FALSE)</f>
        <v>0</v>
      </c>
      <c r="D672" s="55">
        <f>VLOOKUP(Exam_22,AverageScores,b3_descriptive,FALSE)</f>
        <v>0</v>
      </c>
      <c r="E672" s="55">
        <f>VLOOKUP(Exam_22,AverageScores,b3_descriptive,FALSE)</f>
        <v>0</v>
      </c>
      <c r="F672" s="55">
        <f>VLOOKUP(Exam_22,AverageScores,b3_descriptive,FALSE)</f>
        <v>0</v>
      </c>
      <c r="G672" s="55">
        <f>VLOOKUP(Exam_22,AverageScores,b3_descriptive,FALSE)</f>
        <v>0</v>
      </c>
    </row>
    <row r="673" spans="2:7" ht="13.5" customHeight="1">
      <c r="B673" s="51" t="s">
        <v>64</v>
      </c>
      <c r="C673" s="55">
        <f>VLOOKUP(Exam_22,AverageScores,b3_feedback,FALSE)</f>
        <v>0</v>
      </c>
      <c r="D673" s="55">
        <f>VLOOKUP(Exam_22,AverageScores,b3_feedback,FALSE)</f>
        <v>0</v>
      </c>
      <c r="E673" s="55">
        <f>VLOOKUP(Exam_22,AverageScores,b3_feedback,FALSE)</f>
        <v>0</v>
      </c>
      <c r="F673" s="55">
        <f>VLOOKUP(Exam_22,AverageScores,b3_feedback,FALSE)</f>
        <v>0</v>
      </c>
      <c r="G673" s="55">
        <f>VLOOKUP(Exam_22,AverageScores,b3_feedback,FALSE)</f>
        <v>0</v>
      </c>
    </row>
    <row r="674" spans="2:7" ht="13.5" customHeight="1">
      <c r="B674" s="51" t="s">
        <v>65</v>
      </c>
      <c r="C674" s="55">
        <f>VLOOKUP(Exam_22,AverageScores,b3_completeness,FALSE)</f>
        <v>0</v>
      </c>
      <c r="D674" s="55">
        <f>VLOOKUP(Exam_22,AverageScores,b3_completeness,FALSE)</f>
        <v>0</v>
      </c>
      <c r="E674" s="55">
        <f>VLOOKUP(Exam_22,AverageScores,b3_completeness,FALSE)</f>
        <v>0</v>
      </c>
      <c r="F674" s="55">
        <f>VLOOKUP(Exam_22,AverageScores,b3_completeness,FALSE)</f>
        <v>0</v>
      </c>
      <c r="G674" s="55">
        <f>VLOOKUP(Exam_22,AverageScores,b3_completeness,FALSE)</f>
        <v>0</v>
      </c>
    </row>
    <row r="675" spans="2:7" ht="13.5" customHeight="1">
      <c r="B675" s="51" t="s">
        <v>66</v>
      </c>
      <c r="C675" s="55">
        <f>VLOOKUP(Exam_22,ScoringAccuracyTable,b3_accuracy,FALSE)</f>
      </c>
      <c r="D675" s="55">
        <f>VLOOKUP(Exam_22,ScoringAccuracyTable,b3_accuracy,FALSE)</f>
      </c>
      <c r="E675" s="55">
        <f>VLOOKUP(Exam_22,ScoringAccuracyTable,b3_accuracy,FALSE)</f>
      </c>
      <c r="F675" s="55">
        <f>VLOOKUP(Exam_22,ScoringAccuracyTable,b3_accuracy,FALSE)</f>
      </c>
      <c r="G675" s="55">
        <f>VLOOKUP(Exam_22,ScoringAccuracyTable,b3_accuracy,FALSE)</f>
      </c>
    </row>
    <row r="676" spans="2:7" ht="13.5" customHeight="1">
      <c r="B676" s="241"/>
      <c r="C676" s="241"/>
      <c r="D676" s="241"/>
      <c r="E676" s="241"/>
      <c r="F676" s="241"/>
      <c r="G676" s="241"/>
    </row>
    <row r="677" spans="2:7" ht="13.5" customHeight="1">
      <c r="B677" s="52" t="s">
        <v>75</v>
      </c>
      <c r="C677" s="242" t="str">
        <f>BeerName4</f>
        <v>Style4</v>
      </c>
      <c r="D677" s="242"/>
      <c r="E677" s="242"/>
      <c r="F677" s="242"/>
      <c r="G677" s="242"/>
    </row>
    <row r="678" spans="2:7" ht="13.5" customHeight="1">
      <c r="B678" s="241"/>
      <c r="C678" s="241"/>
      <c r="D678" s="241"/>
      <c r="E678" s="241"/>
      <c r="F678" s="241"/>
      <c r="G678" s="241"/>
    </row>
    <row r="679" spans="2:7" ht="13.5" customHeight="1">
      <c r="B679" s="50" t="s">
        <v>68</v>
      </c>
      <c r="C679" s="54" t="s">
        <v>58</v>
      </c>
      <c r="D679" s="54" t="s">
        <v>59</v>
      </c>
      <c r="E679" s="54" t="s">
        <v>60</v>
      </c>
      <c r="F679" s="54" t="s">
        <v>61</v>
      </c>
      <c r="G679" s="54" t="s">
        <v>62</v>
      </c>
    </row>
    <row r="680" spans="2:7" ht="13.5" customHeight="1">
      <c r="B680" s="51" t="s">
        <v>63</v>
      </c>
      <c r="C680" s="55">
        <f>VLOOKUP(Exam_22,AverageScores,b4_perception,FALSE)</f>
        <v>0</v>
      </c>
      <c r="D680" s="55">
        <f>VLOOKUP(Exam_22,AverageScores,b4_perception,FALSE)</f>
        <v>0</v>
      </c>
      <c r="E680" s="55">
        <f>VLOOKUP(Exam_22,AverageScores,b4_perception,FALSE)</f>
        <v>0</v>
      </c>
      <c r="F680" s="55">
        <f>VLOOKUP(Exam_22,AverageScores,b4_perception,FALSE)</f>
        <v>0</v>
      </c>
      <c r="G680" s="55">
        <f>VLOOKUP(Exam_22,AverageScores,b4_perception,FALSE)</f>
        <v>0</v>
      </c>
    </row>
    <row r="681" spans="2:7" ht="13.5" customHeight="1">
      <c r="B681" s="51" t="s">
        <v>69</v>
      </c>
      <c r="C681" s="55">
        <f>VLOOKUP(Exam_22,AverageScores,b4_descriptive,FALSE)</f>
        <v>0</v>
      </c>
      <c r="D681" s="55">
        <f>VLOOKUP(Exam_22,AverageScores,b4_descriptive,FALSE)</f>
        <v>0</v>
      </c>
      <c r="E681" s="55">
        <f>VLOOKUP(Exam_22,AverageScores,b4_descriptive,FALSE)</f>
        <v>0</v>
      </c>
      <c r="F681" s="55">
        <f>VLOOKUP(Exam_22,AverageScores,b4_descriptive,FALSE)</f>
        <v>0</v>
      </c>
      <c r="G681" s="55">
        <f>VLOOKUP(Exam_22,AverageScores,b4_descriptive,FALSE)</f>
        <v>0</v>
      </c>
    </row>
    <row r="682" spans="2:7" ht="13.5" customHeight="1">
      <c r="B682" s="51" t="s">
        <v>64</v>
      </c>
      <c r="C682" s="55">
        <f>VLOOKUP(Exam_22,AverageScores,b4_feedback,FALSE)</f>
        <v>0</v>
      </c>
      <c r="D682" s="55">
        <f>VLOOKUP(Exam_22,AverageScores,b4_feedback,FALSE)</f>
        <v>0</v>
      </c>
      <c r="E682" s="55">
        <f>VLOOKUP(Exam_22,AverageScores,b4_feedback,FALSE)</f>
        <v>0</v>
      </c>
      <c r="F682" s="55">
        <f>VLOOKUP(Exam_22,AverageScores,b4_feedback,FALSE)</f>
        <v>0</v>
      </c>
      <c r="G682" s="55">
        <f>VLOOKUP(Exam_22,AverageScores,b4_feedback,FALSE)</f>
        <v>0</v>
      </c>
    </row>
    <row r="683" spans="2:7" ht="13.5" customHeight="1">
      <c r="B683" s="51" t="s">
        <v>65</v>
      </c>
      <c r="C683" s="55">
        <f>VLOOKUP(Exam_22,AverageScores,b4_completeness,FALSE)</f>
        <v>0</v>
      </c>
      <c r="D683" s="55">
        <f>VLOOKUP(Exam_22,AverageScores,b4_completeness,FALSE)</f>
        <v>0</v>
      </c>
      <c r="E683" s="55">
        <f>VLOOKUP(Exam_22,AverageScores,b4_completeness,FALSE)</f>
        <v>0</v>
      </c>
      <c r="F683" s="55">
        <f>VLOOKUP(Exam_22,AverageScores,b4_completeness,FALSE)</f>
        <v>0</v>
      </c>
      <c r="G683" s="55">
        <f>VLOOKUP(Exam_22,AverageScores,b4_completeness,FALSE)</f>
        <v>0</v>
      </c>
    </row>
    <row r="684" spans="2:7" ht="13.5" customHeight="1">
      <c r="B684" s="51" t="s">
        <v>66</v>
      </c>
      <c r="C684" s="55">
        <f>VLOOKUP(Exam_22,ScoringAccuracyTable,b4_accuracy,FALSE)</f>
      </c>
      <c r="D684" s="55">
        <f>VLOOKUP(Exam_22,ScoringAccuracyTable,b4_accuracy,FALSE)</f>
      </c>
      <c r="E684" s="55">
        <f>VLOOKUP(Exam_22,ScoringAccuracyTable,b4_accuracy,FALSE)</f>
      </c>
      <c r="F684" s="55">
        <f>VLOOKUP(Exam_22,ScoringAccuracyTable,b4_accuracy,FALSE)</f>
      </c>
      <c r="G684" s="55">
        <f>VLOOKUP(Exam_22,ScoringAccuracyTable,b4_accuracy,FALSE)</f>
      </c>
    </row>
    <row r="685" spans="2:7" ht="13.5" customHeight="1">
      <c r="B685" s="241"/>
      <c r="C685" s="241"/>
      <c r="D685" s="241"/>
      <c r="E685" s="241"/>
      <c r="F685" s="241"/>
      <c r="G685" s="241"/>
    </row>
    <row r="690" spans="2:7" ht="13.5" customHeight="1">
      <c r="B690" s="52" t="s">
        <v>74</v>
      </c>
      <c r="C690" s="242" t="str">
        <f>BeerName5</f>
        <v>Style5</v>
      </c>
      <c r="D690" s="242"/>
      <c r="E690" s="242"/>
      <c r="F690" s="242"/>
      <c r="G690" s="242"/>
    </row>
    <row r="691" spans="2:7" ht="13.5" customHeight="1">
      <c r="B691" s="241"/>
      <c r="C691" s="241"/>
      <c r="D691" s="241"/>
      <c r="E691" s="241"/>
      <c r="F691" s="241"/>
      <c r="G691" s="241"/>
    </row>
    <row r="692" spans="2:7" ht="13.5" customHeight="1">
      <c r="B692" s="50" t="s">
        <v>68</v>
      </c>
      <c r="C692" s="54" t="s">
        <v>58</v>
      </c>
      <c r="D692" s="54" t="s">
        <v>59</v>
      </c>
      <c r="E692" s="54" t="s">
        <v>60</v>
      </c>
      <c r="F692" s="54" t="s">
        <v>61</v>
      </c>
      <c r="G692" s="54" t="s">
        <v>62</v>
      </c>
    </row>
    <row r="693" spans="2:7" ht="13.5" customHeight="1">
      <c r="B693" s="51" t="s">
        <v>63</v>
      </c>
      <c r="C693" s="55">
        <f>VLOOKUP(Exam_22,AverageScores,b5_perception,FALSE)</f>
        <v>0</v>
      </c>
      <c r="D693" s="55">
        <f>VLOOKUP(Exam_22,AverageScores,b5_perception,FALSE)</f>
        <v>0</v>
      </c>
      <c r="E693" s="55">
        <f>VLOOKUP(Exam_22,AverageScores,b5_perception,FALSE)</f>
        <v>0</v>
      </c>
      <c r="F693" s="55">
        <f>VLOOKUP(Exam_22,AverageScores,b5_perception,FALSE)</f>
        <v>0</v>
      </c>
      <c r="G693" s="55">
        <f>VLOOKUP(Exam_22,AverageScores,b5_perception,FALSE)</f>
        <v>0</v>
      </c>
    </row>
    <row r="694" spans="2:7" ht="13.5" customHeight="1">
      <c r="B694" s="51" t="s">
        <v>69</v>
      </c>
      <c r="C694" s="55">
        <f>VLOOKUP(Exam_22,AverageScores,b5_descriptive,FALSE)</f>
        <v>0</v>
      </c>
      <c r="D694" s="55">
        <f>VLOOKUP(Exam_22,AverageScores,b5_descriptive,FALSE)</f>
        <v>0</v>
      </c>
      <c r="E694" s="55">
        <f>VLOOKUP(Exam_22,AverageScores,b5_descriptive,FALSE)</f>
        <v>0</v>
      </c>
      <c r="F694" s="55">
        <f>VLOOKUP(Exam_22,AverageScores,b5_descriptive,FALSE)</f>
        <v>0</v>
      </c>
      <c r="G694" s="55">
        <f>VLOOKUP(Exam_22,AverageScores,b5_descriptive,FALSE)</f>
        <v>0</v>
      </c>
    </row>
    <row r="695" spans="2:7" ht="13.5" customHeight="1">
      <c r="B695" s="51" t="s">
        <v>64</v>
      </c>
      <c r="C695" s="55">
        <f>VLOOKUP(Exam_22,AverageScores,b5_feedback,FALSE)</f>
        <v>0</v>
      </c>
      <c r="D695" s="55">
        <f>VLOOKUP(Exam_22,AverageScores,b5_feedback,FALSE)</f>
        <v>0</v>
      </c>
      <c r="E695" s="55">
        <f>VLOOKUP(Exam_22,AverageScores,b5_feedback,FALSE)</f>
        <v>0</v>
      </c>
      <c r="F695" s="55">
        <f>VLOOKUP(Exam_22,AverageScores,b5_feedback,FALSE)</f>
        <v>0</v>
      </c>
      <c r="G695" s="55">
        <f>VLOOKUP(Exam_22,AverageScores,b5_feedback,FALSE)</f>
        <v>0</v>
      </c>
    </row>
    <row r="696" spans="2:7" ht="13.5" customHeight="1">
      <c r="B696" s="51" t="s">
        <v>65</v>
      </c>
      <c r="C696" s="55">
        <f>VLOOKUP(Exam_22,AverageScores,b5_completeness,FALSE)</f>
        <v>0</v>
      </c>
      <c r="D696" s="55">
        <f>VLOOKUP(Exam_22,AverageScores,b5_completeness,FALSE)</f>
        <v>0</v>
      </c>
      <c r="E696" s="55">
        <f>VLOOKUP(Exam_22,AverageScores,b5_completeness,FALSE)</f>
        <v>0</v>
      </c>
      <c r="F696" s="55">
        <f>VLOOKUP(Exam_22,AverageScores,b5_completeness,FALSE)</f>
        <v>0</v>
      </c>
      <c r="G696" s="55">
        <f>VLOOKUP(Exam_22,AverageScores,b5_completeness,FALSE)</f>
        <v>0</v>
      </c>
    </row>
    <row r="697" spans="2:7" ht="13.5" customHeight="1">
      <c r="B697" s="51" t="s">
        <v>66</v>
      </c>
      <c r="C697" s="55">
        <f>VLOOKUP(Exam_22,ScoringAccuracyTable,b5_accuracy,FALSE)</f>
      </c>
      <c r="D697" s="55">
        <f>VLOOKUP(Exam_22,ScoringAccuracyTable,b5_accuracy,FALSE)</f>
      </c>
      <c r="E697" s="55">
        <f>VLOOKUP(Exam_22,ScoringAccuracyTable,b5_accuracy,FALSE)</f>
      </c>
      <c r="F697" s="55">
        <f>VLOOKUP(Exam_22,ScoringAccuracyTable,b5_accuracy,FALSE)</f>
      </c>
      <c r="G697" s="55">
        <f>VLOOKUP(Exam_22,ScoringAccuracyTable,b5_accuracy,FALSE)</f>
      </c>
    </row>
    <row r="698" spans="2:7" ht="13.5" customHeight="1">
      <c r="B698" s="241"/>
      <c r="C698" s="241"/>
      <c r="D698" s="241"/>
      <c r="E698" s="241"/>
      <c r="F698" s="241"/>
      <c r="G698" s="241"/>
    </row>
    <row r="699" spans="2:7" ht="13.5" customHeight="1">
      <c r="B699" s="52" t="s">
        <v>73</v>
      </c>
      <c r="C699" s="242" t="str">
        <f>BeerName6</f>
        <v>Style6</v>
      </c>
      <c r="D699" s="242"/>
      <c r="E699" s="242"/>
      <c r="F699" s="242"/>
      <c r="G699" s="242"/>
    </row>
    <row r="700" spans="2:7" ht="13.5" customHeight="1">
      <c r="B700" s="241"/>
      <c r="C700" s="241"/>
      <c r="D700" s="241"/>
      <c r="E700" s="241"/>
      <c r="F700" s="241"/>
      <c r="G700" s="241"/>
    </row>
    <row r="701" spans="2:7" ht="13.5" customHeight="1">
      <c r="B701" s="50" t="s">
        <v>68</v>
      </c>
      <c r="C701" s="54" t="s">
        <v>58</v>
      </c>
      <c r="D701" s="54" t="s">
        <v>59</v>
      </c>
      <c r="E701" s="54" t="s">
        <v>60</v>
      </c>
      <c r="F701" s="54" t="s">
        <v>61</v>
      </c>
      <c r="G701" s="54" t="s">
        <v>62</v>
      </c>
    </row>
    <row r="702" spans="2:7" ht="13.5" customHeight="1">
      <c r="B702" s="51" t="s">
        <v>63</v>
      </c>
      <c r="C702" s="55">
        <f>VLOOKUP(Exam_22,AverageScores,b6_perception,FALSE)</f>
        <v>0</v>
      </c>
      <c r="D702" s="55">
        <f>VLOOKUP(Exam_22,AverageScores,b6_perception,FALSE)</f>
        <v>0</v>
      </c>
      <c r="E702" s="55">
        <f>VLOOKUP(Exam_22,AverageScores,b6_perception,FALSE)</f>
        <v>0</v>
      </c>
      <c r="F702" s="55">
        <f>VLOOKUP(Exam_22,AverageScores,b6_perception,FALSE)</f>
        <v>0</v>
      </c>
      <c r="G702" s="55">
        <f>VLOOKUP(Exam_22,AverageScores,b6_perception,FALSE)</f>
        <v>0</v>
      </c>
    </row>
    <row r="703" spans="2:7" ht="13.5" customHeight="1">
      <c r="B703" s="51" t="s">
        <v>69</v>
      </c>
      <c r="C703" s="55">
        <f>VLOOKUP(Exam_22,AverageScores,b6_descriptive,FALSE)</f>
        <v>0</v>
      </c>
      <c r="D703" s="55">
        <f>VLOOKUP(Exam_22,AverageScores,b6_descriptive,FALSE)</f>
        <v>0</v>
      </c>
      <c r="E703" s="55">
        <f>VLOOKUP(Exam_22,AverageScores,b6_descriptive,FALSE)</f>
        <v>0</v>
      </c>
      <c r="F703" s="55">
        <f>VLOOKUP(Exam_22,AverageScores,b6_descriptive,FALSE)</f>
        <v>0</v>
      </c>
      <c r="G703" s="55">
        <f>VLOOKUP(Exam_22,AverageScores,b6_descriptive,FALSE)</f>
        <v>0</v>
      </c>
    </row>
    <row r="704" spans="2:7" ht="13.5" customHeight="1">
      <c r="B704" s="51" t="s">
        <v>64</v>
      </c>
      <c r="C704" s="55">
        <f>VLOOKUP(Exam_22,AverageScores,b6_feedback,FALSE)</f>
        <v>0</v>
      </c>
      <c r="D704" s="55">
        <f>VLOOKUP(Exam_22,AverageScores,b6_feedback,FALSE)</f>
        <v>0</v>
      </c>
      <c r="E704" s="55">
        <f>VLOOKUP(Exam_22,AverageScores,b6_feedback,FALSE)</f>
        <v>0</v>
      </c>
      <c r="F704" s="55">
        <f>VLOOKUP(Exam_22,AverageScores,b6_feedback,FALSE)</f>
        <v>0</v>
      </c>
      <c r="G704" s="55">
        <f>VLOOKUP(Exam_22,AverageScores,b6_feedback,FALSE)</f>
        <v>0</v>
      </c>
    </row>
    <row r="705" spans="2:7" ht="13.5" customHeight="1">
      <c r="B705" s="51" t="s">
        <v>65</v>
      </c>
      <c r="C705" s="55">
        <f>VLOOKUP(Exam_22,AverageScores,b6_completeness,FALSE)</f>
        <v>0</v>
      </c>
      <c r="D705" s="55">
        <f>VLOOKUP(Exam_22,AverageScores,b6_completeness,FALSE)</f>
        <v>0</v>
      </c>
      <c r="E705" s="55">
        <f>VLOOKUP(Exam_22,AverageScores,b6_completeness,FALSE)</f>
        <v>0</v>
      </c>
      <c r="F705" s="55">
        <f>VLOOKUP(Exam_22,AverageScores,b6_completeness,FALSE)</f>
        <v>0</v>
      </c>
      <c r="G705" s="55">
        <f>VLOOKUP(Exam_22,AverageScores,b6_completeness,FALSE)</f>
        <v>0</v>
      </c>
    </row>
    <row r="706" spans="2:7" ht="13.5" customHeight="1">
      <c r="B706" s="51" t="s">
        <v>66</v>
      </c>
      <c r="C706" s="55">
        <f>VLOOKUP(Exam_22,ScoringAccuracyTable,b6_accuracy,FALSE)</f>
      </c>
      <c r="D706" s="55">
        <f>VLOOKUP(Exam_22,ScoringAccuracyTable,b6_accuracy,FALSE)</f>
      </c>
      <c r="E706" s="55">
        <f>VLOOKUP(Exam_22,ScoringAccuracyTable,b6_accuracy,FALSE)</f>
      </c>
      <c r="F706" s="55">
        <f>VLOOKUP(Exam_22,ScoringAccuracyTable,b6_accuracy,FALSE)</f>
      </c>
      <c r="G706" s="55">
        <f>VLOOKUP(Exam_22,ScoringAccuracyTable,b6_accuracy,FALSE)</f>
      </c>
    </row>
    <row r="709" spans="1:7" ht="13.5" customHeight="1">
      <c r="A709" s="131" t="s">
        <v>18</v>
      </c>
      <c r="B709" s="243" t="s">
        <v>70</v>
      </c>
      <c r="C709" s="243"/>
      <c r="D709" s="243"/>
      <c r="E709" s="243"/>
      <c r="F709" s="243"/>
      <c r="G709" s="243"/>
    </row>
    <row r="710" spans="1:7" ht="13.5" customHeight="1">
      <c r="A710" s="132">
        <f>Exam_23</f>
        <v>23</v>
      </c>
      <c r="B710" s="244"/>
      <c r="C710" s="244"/>
      <c r="D710" s="244"/>
      <c r="E710" s="244"/>
      <c r="F710" s="244"/>
      <c r="G710" s="244"/>
    </row>
    <row r="711" spans="2:7" ht="13.5" customHeight="1">
      <c r="B711" s="50" t="s">
        <v>68</v>
      </c>
      <c r="C711" s="54" t="s">
        <v>58</v>
      </c>
      <c r="D711" s="54" t="s">
        <v>59</v>
      </c>
      <c r="E711" s="54" t="s">
        <v>60</v>
      </c>
      <c r="F711" s="54" t="s">
        <v>61</v>
      </c>
      <c r="G711" s="54" t="s">
        <v>62</v>
      </c>
    </row>
    <row r="712" spans="2:7" ht="13.5" customHeight="1">
      <c r="B712" s="51" t="s">
        <v>63</v>
      </c>
      <c r="C712" s="55" t="e">
        <f>0.2*AVERAGE(VLOOKUP(Exam_23,Sum_Accuracy,9,FALSE),VLOOKUP(Exam_23,Sum_Accuracy,10,FALSE))</f>
        <v>#VALUE!</v>
      </c>
      <c r="D712" s="55" t="e">
        <f>0.2*AVERAGE(VLOOKUP(Exam_23,Sum_Accuracy,9,FALSE),VLOOKUP(Exam_23,Sum_Accuracy,10,FALSE))</f>
        <v>#VALUE!</v>
      </c>
      <c r="E712" s="55" t="e">
        <f>0.2*AVERAGE(VLOOKUP(Exam_23,Sum_Accuracy,9,FALSE),VLOOKUP(Exam_23,Sum_Accuracy,10,FALSE))</f>
        <v>#VALUE!</v>
      </c>
      <c r="F712" s="55" t="e">
        <f>0.2*AVERAGE(VLOOKUP(Exam_23,Sum_Accuracy,9,FALSE),VLOOKUP(Exam_23,Sum_Accuracy,10,FALSE))</f>
        <v>#VALUE!</v>
      </c>
      <c r="G712" s="55" t="e">
        <f>0.2*AVERAGE(VLOOKUP(Exam_23,Sum_Accuracy,9,FALSE),VLOOKUP(Exam_23,Sum_Accuracy,10,FALSE))</f>
        <v>#VALUE!</v>
      </c>
    </row>
    <row r="713" spans="2:7" ht="13.5" customHeight="1">
      <c r="B713" s="51" t="s">
        <v>69</v>
      </c>
      <c r="C713" s="55" t="e">
        <f>0.2*AVERAGE(VLOOKUP(Exam_23,Sum_Accuracy,11,FALSE),VLOOKUP(Exam_23,Sum_Accuracy,12,FALSE))</f>
        <v>#VALUE!</v>
      </c>
      <c r="D713" s="55" t="e">
        <f>0.2*AVERAGE(VLOOKUP(Exam_23,Sum_Accuracy,11,FALSE),VLOOKUP(Exam_23,Sum_Accuracy,12,FALSE))</f>
        <v>#VALUE!</v>
      </c>
      <c r="E713" s="55" t="e">
        <f>0.2*AVERAGE(VLOOKUP(Exam_23,Sum_Accuracy,11,FALSE),VLOOKUP(Exam_23,Sum_Accuracy,12,FALSE))</f>
        <v>#VALUE!</v>
      </c>
      <c r="F713" s="55" t="e">
        <f>0.2*AVERAGE(VLOOKUP(Exam_23,Sum_Accuracy,11,FALSE),VLOOKUP(Exam_23,Sum_Accuracy,12,FALSE))</f>
        <v>#VALUE!</v>
      </c>
      <c r="G713" s="55" t="e">
        <f>0.2*AVERAGE(VLOOKUP(Exam_23,Sum_Accuracy,11,FALSE),VLOOKUP(Exam_23,Sum_Accuracy,12,FALSE))</f>
        <v>#VALUE!</v>
      </c>
    </row>
    <row r="714" spans="2:7" ht="13.5" customHeight="1">
      <c r="B714" s="51" t="s">
        <v>64</v>
      </c>
      <c r="C714" s="55" t="e">
        <f>0.2*AVERAGE(VLOOKUP(Exam_23,Sum_Accuracy,13,FALSE),VLOOKUP(Exam_23,Sum_Accuracy,14,FALSE))</f>
        <v>#VALUE!</v>
      </c>
      <c r="D714" s="55" t="e">
        <f>0.2*AVERAGE(VLOOKUP(Exam_23,Sum_Accuracy,13,FALSE),VLOOKUP(Exam_23,Sum_Accuracy,14,FALSE))</f>
        <v>#VALUE!</v>
      </c>
      <c r="E714" s="55" t="e">
        <f>0.2*AVERAGE(VLOOKUP(Exam_23,Sum_Accuracy,13,FALSE),VLOOKUP(Exam_23,Sum_Accuracy,14,FALSE))</f>
        <v>#VALUE!</v>
      </c>
      <c r="F714" s="55" t="e">
        <f>0.2*AVERAGE(VLOOKUP(Exam_23,Sum_Accuracy,13,FALSE),VLOOKUP(Exam_23,Sum_Accuracy,14,FALSE))</f>
        <v>#VALUE!</v>
      </c>
      <c r="G714" s="55" t="e">
        <f>0.2*AVERAGE(VLOOKUP(Exam_23,Sum_Accuracy,13,FALSE),VLOOKUP(Exam_23,Sum_Accuracy,14,FALSE))</f>
        <v>#VALUE!</v>
      </c>
    </row>
    <row r="715" spans="2:7" ht="13.5" customHeight="1">
      <c r="B715" s="51" t="s">
        <v>65</v>
      </c>
      <c r="C715" s="55" t="e">
        <f>0.2*AVERAGE(VLOOKUP(Exam_23,Sum_Accuracy,15,FALSE),VLOOKUP(Exam_23,Sum_Accuracy,16,FALSE))</f>
        <v>#VALUE!</v>
      </c>
      <c r="D715" s="55" t="e">
        <f>0.2*AVERAGE(VLOOKUP(Exam_23,Sum_Accuracy,15,FALSE),VLOOKUP(Exam_23,Sum_Accuracy,16,FALSE))</f>
        <v>#VALUE!</v>
      </c>
      <c r="E715" s="55" t="e">
        <f>0.2*AVERAGE(VLOOKUP(Exam_23,Sum_Accuracy,15,FALSE),VLOOKUP(Exam_23,Sum_Accuracy,16,FALSE))</f>
        <v>#VALUE!</v>
      </c>
      <c r="F715" s="55" t="e">
        <f>0.2*AVERAGE(VLOOKUP(Exam_23,Sum_Accuracy,15,FALSE),VLOOKUP(Exam_23,Sum_Accuracy,16,FALSE))</f>
        <v>#VALUE!</v>
      </c>
      <c r="G715" s="55" t="e">
        <f>0.2*AVERAGE(VLOOKUP(Exam_23,Sum_Accuracy,15,FALSE),VLOOKUP(Exam_23,Sum_Accuracy,16,FALSE))</f>
        <v>#VALUE!</v>
      </c>
    </row>
    <row r="716" spans="2:7" ht="13.5" customHeight="1">
      <c r="B716" s="51" t="s">
        <v>66</v>
      </c>
      <c r="C716" s="55" t="e">
        <f>VLOOKUP(Exam_23,Sum_Accuracy,8,FALSE)/5</f>
        <v>#VALUE!</v>
      </c>
      <c r="D716" s="55" t="e">
        <f>VLOOKUP(Exam_23,Sum_Accuracy,8,FALSE)/5</f>
        <v>#VALUE!</v>
      </c>
      <c r="E716" s="55" t="e">
        <f>VLOOKUP(Exam_23,Sum_Accuracy,8,FALSE)/5</f>
        <v>#VALUE!</v>
      </c>
      <c r="F716" s="55" t="e">
        <f>VLOOKUP(Exam_23,Sum_Accuracy,8,FALSE)/5</f>
        <v>#VALUE!</v>
      </c>
      <c r="G716" s="55" t="e">
        <f>VLOOKUP(Exam_23,Sum_Accuracy,8,FALSE)/5</f>
        <v>#VALUE!</v>
      </c>
    </row>
    <row r="717" spans="2:7" ht="13.5" customHeight="1">
      <c r="B717" s="241"/>
      <c r="C717" s="241"/>
      <c r="D717" s="241"/>
      <c r="E717" s="241"/>
      <c r="F717" s="241"/>
      <c r="G717" s="241"/>
    </row>
    <row r="719" spans="2:7" ht="13.5" customHeight="1">
      <c r="B719" s="245" t="s">
        <v>67</v>
      </c>
      <c r="C719" s="245"/>
      <c r="D719" s="245"/>
      <c r="E719" s="245"/>
      <c r="F719" s="245"/>
      <c r="G719" s="245"/>
    </row>
    <row r="720" spans="2:7" ht="13.5" customHeight="1">
      <c r="B720" s="246"/>
      <c r="C720" s="246"/>
      <c r="D720" s="246"/>
      <c r="E720" s="246"/>
      <c r="F720" s="246"/>
      <c r="G720" s="246"/>
    </row>
    <row r="721" spans="2:7" ht="13.5" customHeight="1">
      <c r="B721" s="52" t="s">
        <v>71</v>
      </c>
      <c r="C721" s="242" t="str">
        <f>BeerName1</f>
        <v>Style1</v>
      </c>
      <c r="D721" s="242"/>
      <c r="E721" s="242"/>
      <c r="F721" s="242"/>
      <c r="G721" s="242"/>
    </row>
    <row r="722" spans="2:7" ht="13.5" customHeight="1">
      <c r="B722" s="241"/>
      <c r="C722" s="241"/>
      <c r="D722" s="241"/>
      <c r="E722" s="241"/>
      <c r="F722" s="241"/>
      <c r="G722" s="241"/>
    </row>
    <row r="723" spans="2:7" ht="13.5" customHeight="1">
      <c r="B723" s="50" t="s">
        <v>68</v>
      </c>
      <c r="C723" s="54" t="s">
        <v>58</v>
      </c>
      <c r="D723" s="54" t="s">
        <v>59</v>
      </c>
      <c r="E723" s="54" t="s">
        <v>60</v>
      </c>
      <c r="F723" s="54" t="s">
        <v>61</v>
      </c>
      <c r="G723" s="54" t="s">
        <v>62</v>
      </c>
    </row>
    <row r="724" spans="2:7" ht="13.5" customHeight="1">
      <c r="B724" s="51" t="s">
        <v>63</v>
      </c>
      <c r="C724" s="55">
        <f>VLOOKUP(Exam_23,AverageScores,b1_perception,FALSE)</f>
        <v>0</v>
      </c>
      <c r="D724" s="55">
        <f>VLOOKUP(Exam_23,AverageScores,b1_perception,FALSE)</f>
        <v>0</v>
      </c>
      <c r="E724" s="55">
        <f>VLOOKUP(Exam_23,AverageScores,b1_perception,FALSE)</f>
        <v>0</v>
      </c>
      <c r="F724" s="55">
        <f>VLOOKUP(Exam_23,AverageScores,b1_perception,FALSE)</f>
        <v>0</v>
      </c>
      <c r="G724" s="55">
        <f>VLOOKUP(Exam_23,AverageScores,b1_perception,FALSE)</f>
        <v>0</v>
      </c>
    </row>
    <row r="725" spans="2:7" ht="13.5" customHeight="1">
      <c r="B725" s="51" t="s">
        <v>69</v>
      </c>
      <c r="C725" s="55">
        <f>VLOOKUP(Exam_23,AverageScores,b1_descriptive,FALSE)</f>
        <v>0</v>
      </c>
      <c r="D725" s="55">
        <f>VLOOKUP(Exam_23,AverageScores,b1_descriptive,FALSE)</f>
        <v>0</v>
      </c>
      <c r="E725" s="55">
        <f>VLOOKUP(Exam_23,AverageScores,b1_descriptive,FALSE)</f>
        <v>0</v>
      </c>
      <c r="F725" s="55">
        <f>VLOOKUP(Exam_23,AverageScores,b1_descriptive,FALSE)</f>
        <v>0</v>
      </c>
      <c r="G725" s="55">
        <f>VLOOKUP(Exam_23,AverageScores,b1_descriptive,FALSE)</f>
        <v>0</v>
      </c>
    </row>
    <row r="726" spans="2:7" ht="13.5" customHeight="1">
      <c r="B726" s="51" t="s">
        <v>64</v>
      </c>
      <c r="C726" s="55">
        <f>VLOOKUP(Exam_23,AverageScores,b1_feedback,FALSE)</f>
        <v>0</v>
      </c>
      <c r="D726" s="55">
        <f>VLOOKUP(Exam_23,AverageScores,b1_feedback,FALSE)</f>
        <v>0</v>
      </c>
      <c r="E726" s="55">
        <f>VLOOKUP(Exam_23,AverageScores,b1_feedback,FALSE)</f>
        <v>0</v>
      </c>
      <c r="F726" s="55">
        <f>VLOOKUP(Exam_23,AverageScores,b1_feedback,FALSE)</f>
        <v>0</v>
      </c>
      <c r="G726" s="55">
        <f>VLOOKUP(Exam_23,AverageScores,b1_feedback,FALSE)</f>
        <v>0</v>
      </c>
    </row>
    <row r="727" spans="2:7" ht="13.5" customHeight="1">
      <c r="B727" s="51" t="s">
        <v>65</v>
      </c>
      <c r="C727" s="55">
        <f>VLOOKUP(Exam_23,AverageScores,b1_completeness,FALSE)</f>
        <v>0</v>
      </c>
      <c r="D727" s="55">
        <f>VLOOKUP(Exam_23,AverageScores,b1_completeness,FALSE)</f>
        <v>0</v>
      </c>
      <c r="E727" s="55">
        <f>VLOOKUP(Exam_23,AverageScores,b1_completeness,FALSE)</f>
        <v>0</v>
      </c>
      <c r="F727" s="55">
        <f>VLOOKUP(Exam_23,AverageScores,b1_completeness,FALSE)</f>
        <v>0</v>
      </c>
      <c r="G727" s="55">
        <f>VLOOKUP(Exam_23,AverageScores,b1_completeness,FALSE)</f>
        <v>0</v>
      </c>
    </row>
    <row r="728" spans="2:7" ht="13.5" customHeight="1">
      <c r="B728" s="51" t="s">
        <v>66</v>
      </c>
      <c r="C728" s="55">
        <f>VLOOKUP(Exam_23,ScoringAccuracyTable,b1_accuracy,FALSE)</f>
      </c>
      <c r="D728" s="55">
        <f>VLOOKUP(Exam_23,ScoringAccuracyTable,b1_accuracy,FALSE)</f>
      </c>
      <c r="E728" s="55">
        <f>VLOOKUP(Exam_23,ScoringAccuracyTable,b1_accuracy,FALSE)</f>
      </c>
      <c r="F728" s="55">
        <f>VLOOKUP(Exam_23,ScoringAccuracyTable,b1_accuracy,FALSE)</f>
      </c>
      <c r="G728" s="55">
        <f>VLOOKUP(Exam_23,ScoringAccuracyTable,b1_accuracy,FALSE)</f>
      </c>
    </row>
    <row r="729" spans="2:7" ht="13.5" customHeight="1">
      <c r="B729" s="241"/>
      <c r="C729" s="241"/>
      <c r="D729" s="241"/>
      <c r="E729" s="241"/>
      <c r="F729" s="241"/>
      <c r="G729" s="241"/>
    </row>
    <row r="730" spans="2:7" ht="13.5" customHeight="1">
      <c r="B730" s="52" t="s">
        <v>72</v>
      </c>
      <c r="C730" s="242" t="str">
        <f>BeerName2</f>
        <v>Style2</v>
      </c>
      <c r="D730" s="242"/>
      <c r="E730" s="242"/>
      <c r="F730" s="242"/>
      <c r="G730" s="242"/>
    </row>
    <row r="731" spans="2:7" ht="13.5" customHeight="1">
      <c r="B731" s="247"/>
      <c r="C731" s="247"/>
      <c r="D731" s="247"/>
      <c r="E731" s="247"/>
      <c r="F731" s="247"/>
      <c r="G731" s="247"/>
    </row>
    <row r="732" spans="2:7" ht="13.5" customHeight="1">
      <c r="B732" s="50" t="s">
        <v>68</v>
      </c>
      <c r="C732" s="56" t="s">
        <v>58</v>
      </c>
      <c r="D732" s="56" t="s">
        <v>59</v>
      </c>
      <c r="E732" s="56" t="s">
        <v>60</v>
      </c>
      <c r="F732" s="56" t="s">
        <v>61</v>
      </c>
      <c r="G732" s="56" t="s">
        <v>62</v>
      </c>
    </row>
    <row r="733" spans="2:7" ht="13.5" customHeight="1">
      <c r="B733" s="51" t="s">
        <v>63</v>
      </c>
      <c r="C733" s="55">
        <f>VLOOKUP(Exam_23,AverageScores,b2_perceptive,FALSE)</f>
        <v>0</v>
      </c>
      <c r="D733" s="55">
        <f>VLOOKUP(Exam_23,AverageScores,b2_perceptive,FALSE)</f>
        <v>0</v>
      </c>
      <c r="E733" s="55">
        <f>VLOOKUP(Exam_23,AverageScores,b2_perceptive,FALSE)</f>
        <v>0</v>
      </c>
      <c r="F733" s="55">
        <f>VLOOKUP(Exam_23,AverageScores,b2_perceptive,FALSE)</f>
        <v>0</v>
      </c>
      <c r="G733" s="55">
        <f>VLOOKUP(Exam_23,AverageScores,b2_perceptive,FALSE)</f>
        <v>0</v>
      </c>
    </row>
    <row r="734" spans="2:7" ht="13.5" customHeight="1">
      <c r="B734" s="51" t="s">
        <v>69</v>
      </c>
      <c r="C734" s="55">
        <f>VLOOKUP(Exam_23,AverageScores,b2_descriptive,FALSE)</f>
        <v>0</v>
      </c>
      <c r="D734" s="55">
        <f>VLOOKUP(Exam_23,AverageScores,b2_descriptive,FALSE)</f>
        <v>0</v>
      </c>
      <c r="E734" s="55">
        <f>VLOOKUP(Exam_23,AverageScores,b2_descriptive,FALSE)</f>
        <v>0</v>
      </c>
      <c r="F734" s="55">
        <f>VLOOKUP(Exam_23,AverageScores,b2_descriptive,FALSE)</f>
        <v>0</v>
      </c>
      <c r="G734" s="55">
        <f>VLOOKUP(Exam_23,AverageScores,b2_descriptive,FALSE)</f>
        <v>0</v>
      </c>
    </row>
    <row r="735" spans="2:7" ht="13.5" customHeight="1">
      <c r="B735" s="51" t="s">
        <v>64</v>
      </c>
      <c r="C735" s="55">
        <f>VLOOKUP(Exam_23,AverageScores,b2_feedback,FALSE)</f>
        <v>0</v>
      </c>
      <c r="D735" s="55">
        <f>VLOOKUP(Exam_23,AverageScores,b2_feedback,FALSE)</f>
        <v>0</v>
      </c>
      <c r="E735" s="55">
        <f>VLOOKUP(Exam_23,AverageScores,b2_feedback,FALSE)</f>
        <v>0</v>
      </c>
      <c r="F735" s="55">
        <f>VLOOKUP(Exam_23,AverageScores,b2_feedback,FALSE)</f>
        <v>0</v>
      </c>
      <c r="G735" s="55">
        <f>VLOOKUP(Exam_23,AverageScores,b2_feedback,FALSE)</f>
        <v>0</v>
      </c>
    </row>
    <row r="736" spans="2:7" ht="13.5" customHeight="1">
      <c r="B736" s="51" t="s">
        <v>65</v>
      </c>
      <c r="C736" s="55">
        <f>VLOOKUP(Exam_23,AverageScores,b2_completeness,FALSE)</f>
        <v>0</v>
      </c>
      <c r="D736" s="55">
        <f>VLOOKUP(Exam_23,AverageScores,b2_completeness,FALSE)</f>
        <v>0</v>
      </c>
      <c r="E736" s="55">
        <f>VLOOKUP(Exam_23,AverageScores,b2_completeness,FALSE)</f>
        <v>0</v>
      </c>
      <c r="F736" s="55">
        <f>VLOOKUP(Exam_23,AverageScores,b2_completeness,FALSE)</f>
        <v>0</v>
      </c>
      <c r="G736" s="55">
        <f>VLOOKUP(Exam_23,AverageScores,b2_completeness,FALSE)</f>
        <v>0</v>
      </c>
    </row>
    <row r="737" spans="2:7" ht="13.5" customHeight="1">
      <c r="B737" s="51" t="s">
        <v>66</v>
      </c>
      <c r="C737" s="55">
        <f>VLOOKUP(Exam_23,ScoringAccuracyTable,b2_accuracy,FALSE)</f>
      </c>
      <c r="D737" s="55">
        <f>VLOOKUP(Exam_23,ScoringAccuracyTable,b2_accuracy,FALSE)</f>
      </c>
      <c r="E737" s="55">
        <f>VLOOKUP(Exam_23,ScoringAccuracyTable,b2_accuracy,FALSE)</f>
      </c>
      <c r="F737" s="55">
        <f>VLOOKUP(Exam_23,ScoringAccuracyTable,b2_accuracy,FALSE)</f>
      </c>
      <c r="G737" s="55">
        <f>VLOOKUP(Exam_23,ScoringAccuracyTable,b2_accuracy,FALSE)</f>
      </c>
    </row>
    <row r="738" spans="2:7" ht="13.5" customHeight="1">
      <c r="B738" s="241"/>
      <c r="C738" s="241"/>
      <c r="D738" s="241"/>
      <c r="E738" s="241"/>
      <c r="F738" s="241"/>
      <c r="G738" s="241"/>
    </row>
    <row r="739" spans="2:7" ht="13.5" customHeight="1">
      <c r="B739" s="52" t="s">
        <v>76</v>
      </c>
      <c r="C739" s="242" t="str">
        <f>BeerName3</f>
        <v>Style3</v>
      </c>
      <c r="D739" s="242"/>
      <c r="E739" s="242"/>
      <c r="F739" s="242"/>
      <c r="G739" s="242"/>
    </row>
    <row r="740" spans="2:7" ht="13.5" customHeight="1">
      <c r="B740" s="247"/>
      <c r="C740" s="247"/>
      <c r="D740" s="247"/>
      <c r="E740" s="247"/>
      <c r="F740" s="247"/>
      <c r="G740" s="247"/>
    </row>
    <row r="741" spans="2:7" ht="13.5" customHeight="1">
      <c r="B741" s="50" t="s">
        <v>68</v>
      </c>
      <c r="C741" s="54" t="s">
        <v>58</v>
      </c>
      <c r="D741" s="54" t="s">
        <v>59</v>
      </c>
      <c r="E741" s="54" t="s">
        <v>60</v>
      </c>
      <c r="F741" s="54" t="s">
        <v>61</v>
      </c>
      <c r="G741" s="54" t="s">
        <v>62</v>
      </c>
    </row>
    <row r="742" spans="2:7" ht="13.5" customHeight="1">
      <c r="B742" s="51" t="s">
        <v>63</v>
      </c>
      <c r="C742" s="55">
        <f>VLOOKUP(Exam_23,AverageScores,b3_perception,FALSE)</f>
        <v>0</v>
      </c>
      <c r="D742" s="55">
        <f>VLOOKUP(Exam_23,AverageScores,b3_perception,FALSE)</f>
        <v>0</v>
      </c>
      <c r="E742" s="55">
        <f>VLOOKUP(Exam_23,AverageScores,b3_perception,FALSE)</f>
        <v>0</v>
      </c>
      <c r="F742" s="55">
        <f>VLOOKUP(Exam_23,AverageScores,b3_perception,FALSE)</f>
        <v>0</v>
      </c>
      <c r="G742" s="55">
        <f>VLOOKUP(Exam_23,AverageScores,b3_perception,FALSE)</f>
        <v>0</v>
      </c>
    </row>
    <row r="743" spans="2:7" ht="13.5" customHeight="1">
      <c r="B743" s="51" t="s">
        <v>69</v>
      </c>
      <c r="C743" s="55">
        <f>VLOOKUP(Exam_23,AverageScores,b3_descriptive,FALSE)</f>
        <v>0</v>
      </c>
      <c r="D743" s="55">
        <f>VLOOKUP(Exam_23,AverageScores,b3_descriptive,FALSE)</f>
        <v>0</v>
      </c>
      <c r="E743" s="55">
        <f>VLOOKUP(Exam_23,AverageScores,b3_descriptive,FALSE)</f>
        <v>0</v>
      </c>
      <c r="F743" s="55">
        <f>VLOOKUP(Exam_23,AverageScores,b3_descriptive,FALSE)</f>
        <v>0</v>
      </c>
      <c r="G743" s="55">
        <f>VLOOKUP(Exam_23,AverageScores,b3_descriptive,FALSE)</f>
        <v>0</v>
      </c>
    </row>
    <row r="744" spans="2:7" ht="13.5" customHeight="1">
      <c r="B744" s="51" t="s">
        <v>64</v>
      </c>
      <c r="C744" s="55">
        <f>VLOOKUP(Exam_23,AverageScores,b3_feedback,FALSE)</f>
        <v>0</v>
      </c>
      <c r="D744" s="55">
        <f>VLOOKUP(Exam_23,AverageScores,b3_feedback,FALSE)</f>
        <v>0</v>
      </c>
      <c r="E744" s="55">
        <f>VLOOKUP(Exam_23,AverageScores,b3_feedback,FALSE)</f>
        <v>0</v>
      </c>
      <c r="F744" s="55">
        <f>VLOOKUP(Exam_23,AverageScores,b3_feedback,FALSE)</f>
        <v>0</v>
      </c>
      <c r="G744" s="55">
        <f>VLOOKUP(Exam_23,AverageScores,b3_feedback,FALSE)</f>
        <v>0</v>
      </c>
    </row>
    <row r="745" spans="2:7" ht="13.5" customHeight="1">
      <c r="B745" s="51" t="s">
        <v>65</v>
      </c>
      <c r="C745" s="55">
        <f>VLOOKUP(Exam_23,AverageScores,b3_completeness,FALSE)</f>
        <v>0</v>
      </c>
      <c r="D745" s="55">
        <f>VLOOKUP(Exam_23,AverageScores,b3_completeness,FALSE)</f>
        <v>0</v>
      </c>
      <c r="E745" s="55">
        <f>VLOOKUP(Exam_23,AverageScores,b3_completeness,FALSE)</f>
        <v>0</v>
      </c>
      <c r="F745" s="55">
        <f>VLOOKUP(Exam_23,AverageScores,b3_completeness,FALSE)</f>
        <v>0</v>
      </c>
      <c r="G745" s="55">
        <f>VLOOKUP(Exam_23,AverageScores,b3_completeness,FALSE)</f>
        <v>0</v>
      </c>
    </row>
    <row r="746" spans="2:7" ht="13.5" customHeight="1">
      <c r="B746" s="51" t="s">
        <v>66</v>
      </c>
      <c r="C746" s="55">
        <f>VLOOKUP(Exam_23,ScoringAccuracyTable,b3_accuracy,FALSE)</f>
      </c>
      <c r="D746" s="55">
        <f>VLOOKUP(Exam_23,ScoringAccuracyTable,b3_accuracy,FALSE)</f>
      </c>
      <c r="E746" s="55">
        <f>VLOOKUP(Exam_23,ScoringAccuracyTable,b3_accuracy,FALSE)</f>
      </c>
      <c r="F746" s="55">
        <f>VLOOKUP(Exam_23,ScoringAccuracyTable,b3_accuracy,FALSE)</f>
      </c>
      <c r="G746" s="55">
        <f>VLOOKUP(Exam_23,ScoringAccuracyTable,b3_accuracy,FALSE)</f>
      </c>
    </row>
    <row r="747" spans="2:7" ht="13.5" customHeight="1">
      <c r="B747" s="241"/>
      <c r="C747" s="241"/>
      <c r="D747" s="241"/>
      <c r="E747" s="241"/>
      <c r="F747" s="241"/>
      <c r="G747" s="241"/>
    </row>
    <row r="748" spans="2:7" ht="13.5" customHeight="1">
      <c r="B748" s="52" t="s">
        <v>75</v>
      </c>
      <c r="C748" s="242" t="str">
        <f>BeerName4</f>
        <v>Style4</v>
      </c>
      <c r="D748" s="242"/>
      <c r="E748" s="242"/>
      <c r="F748" s="242"/>
      <c r="G748" s="242"/>
    </row>
    <row r="749" spans="2:7" ht="13.5" customHeight="1">
      <c r="B749" s="241"/>
      <c r="C749" s="241"/>
      <c r="D749" s="241"/>
      <c r="E749" s="241"/>
      <c r="F749" s="241"/>
      <c r="G749" s="241"/>
    </row>
    <row r="750" spans="2:7" ht="13.5" customHeight="1">
      <c r="B750" s="50" t="s">
        <v>68</v>
      </c>
      <c r="C750" s="54" t="s">
        <v>58</v>
      </c>
      <c r="D750" s="54" t="s">
        <v>59</v>
      </c>
      <c r="E750" s="54" t="s">
        <v>60</v>
      </c>
      <c r="F750" s="54" t="s">
        <v>61</v>
      </c>
      <c r="G750" s="54" t="s">
        <v>62</v>
      </c>
    </row>
    <row r="751" spans="2:7" ht="13.5" customHeight="1">
      <c r="B751" s="51" t="s">
        <v>63</v>
      </c>
      <c r="C751" s="55">
        <f>VLOOKUP(Exam_23,AverageScores,b4_perception,FALSE)</f>
        <v>0</v>
      </c>
      <c r="D751" s="55">
        <f>VLOOKUP(Exam_23,AverageScores,b4_perception,FALSE)</f>
        <v>0</v>
      </c>
      <c r="E751" s="55">
        <f>VLOOKUP(Exam_23,AverageScores,b4_perception,FALSE)</f>
        <v>0</v>
      </c>
      <c r="F751" s="55">
        <f>VLOOKUP(Exam_23,AverageScores,b4_perception,FALSE)</f>
        <v>0</v>
      </c>
      <c r="G751" s="55">
        <f>VLOOKUP(Exam_23,AverageScores,b4_perception,FALSE)</f>
        <v>0</v>
      </c>
    </row>
    <row r="752" spans="2:7" ht="13.5" customHeight="1">
      <c r="B752" s="51" t="s">
        <v>69</v>
      </c>
      <c r="C752" s="55">
        <f>VLOOKUP(Exam_23,AverageScores,b4_descriptive,FALSE)</f>
        <v>0</v>
      </c>
      <c r="D752" s="55">
        <f>VLOOKUP(Exam_23,AverageScores,b4_descriptive,FALSE)</f>
        <v>0</v>
      </c>
      <c r="E752" s="55">
        <f>VLOOKUP(Exam_23,AverageScores,b4_descriptive,FALSE)</f>
        <v>0</v>
      </c>
      <c r="F752" s="55">
        <f>VLOOKUP(Exam_23,AverageScores,b4_descriptive,FALSE)</f>
        <v>0</v>
      </c>
      <c r="G752" s="55">
        <f>VLOOKUP(Exam_23,AverageScores,b4_descriptive,FALSE)</f>
        <v>0</v>
      </c>
    </row>
    <row r="753" spans="2:7" ht="13.5" customHeight="1">
      <c r="B753" s="51" t="s">
        <v>64</v>
      </c>
      <c r="C753" s="55">
        <f>VLOOKUP(Exam_23,AverageScores,b4_feedback,FALSE)</f>
        <v>0</v>
      </c>
      <c r="D753" s="55">
        <f>VLOOKUP(Exam_23,AverageScores,b4_feedback,FALSE)</f>
        <v>0</v>
      </c>
      <c r="E753" s="55">
        <f>VLOOKUP(Exam_23,AverageScores,b4_feedback,FALSE)</f>
        <v>0</v>
      </c>
      <c r="F753" s="55">
        <f>VLOOKUP(Exam_23,AverageScores,b4_feedback,FALSE)</f>
        <v>0</v>
      </c>
      <c r="G753" s="55">
        <f>VLOOKUP(Exam_23,AverageScores,b4_feedback,FALSE)</f>
        <v>0</v>
      </c>
    </row>
    <row r="754" spans="2:7" ht="13.5" customHeight="1">
      <c r="B754" s="51" t="s">
        <v>65</v>
      </c>
      <c r="C754" s="55">
        <f>VLOOKUP(Exam_23,AverageScores,b4_completeness,FALSE)</f>
        <v>0</v>
      </c>
      <c r="D754" s="55">
        <f>VLOOKUP(Exam_23,AverageScores,b4_completeness,FALSE)</f>
        <v>0</v>
      </c>
      <c r="E754" s="55">
        <f>VLOOKUP(Exam_23,AverageScores,b4_completeness,FALSE)</f>
        <v>0</v>
      </c>
      <c r="F754" s="55">
        <f>VLOOKUP(Exam_23,AverageScores,b4_completeness,FALSE)</f>
        <v>0</v>
      </c>
      <c r="G754" s="55">
        <f>VLOOKUP(Exam_23,AverageScores,b4_completeness,FALSE)</f>
        <v>0</v>
      </c>
    </row>
    <row r="755" spans="2:7" ht="13.5" customHeight="1">
      <c r="B755" s="51" t="s">
        <v>66</v>
      </c>
      <c r="C755" s="55">
        <f>VLOOKUP(Exam_23,ScoringAccuracyTable,b4_accuracy,FALSE)</f>
      </c>
      <c r="D755" s="55">
        <f>VLOOKUP(Exam_23,ScoringAccuracyTable,b4_accuracy,FALSE)</f>
      </c>
      <c r="E755" s="55">
        <f>VLOOKUP(Exam_23,ScoringAccuracyTable,b4_accuracy,FALSE)</f>
      </c>
      <c r="F755" s="55">
        <f>VLOOKUP(Exam_23,ScoringAccuracyTable,b4_accuracy,FALSE)</f>
      </c>
      <c r="G755" s="55">
        <f>VLOOKUP(Exam_23,ScoringAccuracyTable,b4_accuracy,FALSE)</f>
      </c>
    </row>
    <row r="756" spans="2:7" ht="13.5" customHeight="1">
      <c r="B756" s="241"/>
      <c r="C756" s="241"/>
      <c r="D756" s="241"/>
      <c r="E756" s="241"/>
      <c r="F756" s="241"/>
      <c r="G756" s="241"/>
    </row>
    <row r="761" spans="2:7" ht="13.5" customHeight="1">
      <c r="B761" s="52" t="s">
        <v>74</v>
      </c>
      <c r="C761" s="242" t="str">
        <f>BeerName5</f>
        <v>Style5</v>
      </c>
      <c r="D761" s="242"/>
      <c r="E761" s="242"/>
      <c r="F761" s="242"/>
      <c r="G761" s="242"/>
    </row>
    <row r="762" spans="2:7" ht="13.5" customHeight="1">
      <c r="B762" s="241"/>
      <c r="C762" s="241"/>
      <c r="D762" s="241"/>
      <c r="E762" s="241"/>
      <c r="F762" s="241"/>
      <c r="G762" s="241"/>
    </row>
    <row r="763" spans="2:7" ht="13.5" customHeight="1">
      <c r="B763" s="50" t="s">
        <v>68</v>
      </c>
      <c r="C763" s="54" t="s">
        <v>58</v>
      </c>
      <c r="D763" s="54" t="s">
        <v>59</v>
      </c>
      <c r="E763" s="54" t="s">
        <v>60</v>
      </c>
      <c r="F763" s="54" t="s">
        <v>61</v>
      </c>
      <c r="G763" s="54" t="s">
        <v>62</v>
      </c>
    </row>
    <row r="764" spans="2:7" ht="13.5" customHeight="1">
      <c r="B764" s="51" t="s">
        <v>63</v>
      </c>
      <c r="C764" s="55">
        <f>VLOOKUP(Exam_23,AverageScores,b5_perception,FALSE)</f>
        <v>0</v>
      </c>
      <c r="D764" s="55">
        <f>VLOOKUP(Exam_23,AverageScores,b5_perception,FALSE)</f>
        <v>0</v>
      </c>
      <c r="E764" s="55">
        <f>VLOOKUP(Exam_23,AverageScores,b5_perception,FALSE)</f>
        <v>0</v>
      </c>
      <c r="F764" s="55">
        <f>VLOOKUP(Exam_23,AverageScores,b5_perception,FALSE)</f>
        <v>0</v>
      </c>
      <c r="G764" s="55">
        <f>VLOOKUP(Exam_23,AverageScores,b5_perception,FALSE)</f>
        <v>0</v>
      </c>
    </row>
    <row r="765" spans="2:7" ht="13.5" customHeight="1">
      <c r="B765" s="51" t="s">
        <v>69</v>
      </c>
      <c r="C765" s="55">
        <f>VLOOKUP(Exam_23,AverageScores,b5_descriptive,FALSE)</f>
        <v>0</v>
      </c>
      <c r="D765" s="55">
        <f>VLOOKUP(Exam_23,AverageScores,b5_descriptive,FALSE)</f>
        <v>0</v>
      </c>
      <c r="E765" s="55">
        <f>VLOOKUP(Exam_23,AverageScores,b5_descriptive,FALSE)</f>
        <v>0</v>
      </c>
      <c r="F765" s="55">
        <f>VLOOKUP(Exam_23,AverageScores,b5_descriptive,FALSE)</f>
        <v>0</v>
      </c>
      <c r="G765" s="55">
        <f>VLOOKUP(Exam_23,AverageScores,b5_descriptive,FALSE)</f>
        <v>0</v>
      </c>
    </row>
    <row r="766" spans="2:7" ht="13.5" customHeight="1">
      <c r="B766" s="51" t="s">
        <v>64</v>
      </c>
      <c r="C766" s="55">
        <f>VLOOKUP(Exam_23,AverageScores,b5_feedback,FALSE)</f>
        <v>0</v>
      </c>
      <c r="D766" s="55">
        <f>VLOOKUP(Exam_23,AverageScores,b5_feedback,FALSE)</f>
        <v>0</v>
      </c>
      <c r="E766" s="55">
        <f>VLOOKUP(Exam_23,AverageScores,b5_feedback,FALSE)</f>
        <v>0</v>
      </c>
      <c r="F766" s="55">
        <f>VLOOKUP(Exam_23,AverageScores,b5_feedback,FALSE)</f>
        <v>0</v>
      </c>
      <c r="G766" s="55">
        <f>VLOOKUP(Exam_23,AverageScores,b5_feedback,FALSE)</f>
        <v>0</v>
      </c>
    </row>
    <row r="767" spans="2:7" ht="13.5" customHeight="1">
      <c r="B767" s="51" t="s">
        <v>65</v>
      </c>
      <c r="C767" s="55">
        <f>VLOOKUP(Exam_23,AverageScores,b5_completeness,FALSE)</f>
        <v>0</v>
      </c>
      <c r="D767" s="55">
        <f>VLOOKUP(Exam_23,AverageScores,b5_completeness,FALSE)</f>
        <v>0</v>
      </c>
      <c r="E767" s="55">
        <f>VLOOKUP(Exam_23,AverageScores,b5_completeness,FALSE)</f>
        <v>0</v>
      </c>
      <c r="F767" s="55">
        <f>VLOOKUP(Exam_23,AverageScores,b5_completeness,FALSE)</f>
        <v>0</v>
      </c>
      <c r="G767" s="55">
        <f>VLOOKUP(Exam_23,AverageScores,b5_completeness,FALSE)</f>
        <v>0</v>
      </c>
    </row>
    <row r="768" spans="2:7" ht="13.5" customHeight="1">
      <c r="B768" s="51" t="s">
        <v>66</v>
      </c>
      <c r="C768" s="55">
        <f>VLOOKUP(Exam_23,ScoringAccuracyTable,b5_accuracy,FALSE)</f>
      </c>
      <c r="D768" s="55">
        <f>VLOOKUP(Exam_23,ScoringAccuracyTable,b5_accuracy,FALSE)</f>
      </c>
      <c r="E768" s="55">
        <f>VLOOKUP(Exam_23,ScoringAccuracyTable,b5_accuracy,FALSE)</f>
      </c>
      <c r="F768" s="55">
        <f>VLOOKUP(Exam_23,ScoringAccuracyTable,b5_accuracy,FALSE)</f>
      </c>
      <c r="G768" s="55">
        <f>VLOOKUP(Exam_23,ScoringAccuracyTable,b5_accuracy,FALSE)</f>
      </c>
    </row>
    <row r="769" spans="2:7" ht="13.5" customHeight="1">
      <c r="B769" s="241"/>
      <c r="C769" s="241"/>
      <c r="D769" s="241"/>
      <c r="E769" s="241"/>
      <c r="F769" s="241"/>
      <c r="G769" s="241"/>
    </row>
    <row r="770" spans="2:7" ht="13.5" customHeight="1">
      <c r="B770" s="52" t="s">
        <v>73</v>
      </c>
      <c r="C770" s="242" t="str">
        <f>BeerName6</f>
        <v>Style6</v>
      </c>
      <c r="D770" s="242"/>
      <c r="E770" s="242"/>
      <c r="F770" s="242"/>
      <c r="G770" s="242"/>
    </row>
    <row r="771" spans="2:7" ht="13.5" customHeight="1">
      <c r="B771" s="241"/>
      <c r="C771" s="241"/>
      <c r="D771" s="241"/>
      <c r="E771" s="241"/>
      <c r="F771" s="241"/>
      <c r="G771" s="241"/>
    </row>
    <row r="772" spans="2:7" ht="13.5" customHeight="1">
      <c r="B772" s="50" t="s">
        <v>68</v>
      </c>
      <c r="C772" s="54" t="s">
        <v>58</v>
      </c>
      <c r="D772" s="54" t="s">
        <v>59</v>
      </c>
      <c r="E772" s="54" t="s">
        <v>60</v>
      </c>
      <c r="F772" s="54" t="s">
        <v>61</v>
      </c>
      <c r="G772" s="54" t="s">
        <v>62</v>
      </c>
    </row>
    <row r="773" spans="2:7" ht="13.5" customHeight="1">
      <c r="B773" s="51" t="s">
        <v>63</v>
      </c>
      <c r="C773" s="55">
        <f>VLOOKUP(Exam_23,AverageScores,b6_perception,FALSE)</f>
        <v>0</v>
      </c>
      <c r="D773" s="55">
        <f>VLOOKUP(Exam_23,AverageScores,b6_perception,FALSE)</f>
        <v>0</v>
      </c>
      <c r="E773" s="55">
        <f>VLOOKUP(Exam_23,AverageScores,b6_perception,FALSE)</f>
        <v>0</v>
      </c>
      <c r="F773" s="55">
        <f>VLOOKUP(Exam_23,AverageScores,b6_perception,FALSE)</f>
        <v>0</v>
      </c>
      <c r="G773" s="55">
        <f>VLOOKUP(Exam_23,AverageScores,b6_perception,FALSE)</f>
        <v>0</v>
      </c>
    </row>
    <row r="774" spans="2:7" ht="13.5" customHeight="1">
      <c r="B774" s="51" t="s">
        <v>69</v>
      </c>
      <c r="C774" s="55">
        <f>VLOOKUP(Exam_23,AverageScores,b6_descriptive,FALSE)</f>
        <v>0</v>
      </c>
      <c r="D774" s="55">
        <f>VLOOKUP(Exam_23,AverageScores,b6_descriptive,FALSE)</f>
        <v>0</v>
      </c>
      <c r="E774" s="55">
        <f>VLOOKUP(Exam_23,AverageScores,b6_descriptive,FALSE)</f>
        <v>0</v>
      </c>
      <c r="F774" s="55">
        <f>VLOOKUP(Exam_23,AverageScores,b6_descriptive,FALSE)</f>
        <v>0</v>
      </c>
      <c r="G774" s="55">
        <f>VLOOKUP(Exam_23,AverageScores,b6_descriptive,FALSE)</f>
        <v>0</v>
      </c>
    </row>
    <row r="775" spans="2:7" ht="13.5" customHeight="1">
      <c r="B775" s="51" t="s">
        <v>64</v>
      </c>
      <c r="C775" s="55">
        <f>VLOOKUP(Exam_23,AverageScores,b6_feedback,FALSE)</f>
        <v>0</v>
      </c>
      <c r="D775" s="55">
        <f>VLOOKUP(Exam_23,AverageScores,b6_feedback,FALSE)</f>
        <v>0</v>
      </c>
      <c r="E775" s="55">
        <f>VLOOKUP(Exam_23,AverageScores,b6_feedback,FALSE)</f>
        <v>0</v>
      </c>
      <c r="F775" s="55">
        <f>VLOOKUP(Exam_23,AverageScores,b6_feedback,FALSE)</f>
        <v>0</v>
      </c>
      <c r="G775" s="55">
        <f>VLOOKUP(Exam_23,AverageScores,b6_feedback,FALSE)</f>
        <v>0</v>
      </c>
    </row>
    <row r="776" spans="2:7" ht="13.5" customHeight="1">
      <c r="B776" s="51" t="s">
        <v>65</v>
      </c>
      <c r="C776" s="55">
        <f>VLOOKUP(Exam_23,AverageScores,b6_completeness,FALSE)</f>
        <v>0</v>
      </c>
      <c r="D776" s="55">
        <f>VLOOKUP(Exam_23,AverageScores,b6_completeness,FALSE)</f>
        <v>0</v>
      </c>
      <c r="E776" s="55">
        <f>VLOOKUP(Exam_23,AverageScores,b6_completeness,FALSE)</f>
        <v>0</v>
      </c>
      <c r="F776" s="55">
        <f>VLOOKUP(Exam_23,AverageScores,b6_completeness,FALSE)</f>
        <v>0</v>
      </c>
      <c r="G776" s="55">
        <f>VLOOKUP(Exam_23,AverageScores,b6_completeness,FALSE)</f>
        <v>0</v>
      </c>
    </row>
    <row r="777" spans="2:7" ht="13.5" customHeight="1">
      <c r="B777" s="51" t="s">
        <v>66</v>
      </c>
      <c r="C777" s="55">
        <f>VLOOKUP(Exam_23,ScoringAccuracyTable,b6_accuracy,FALSE)</f>
      </c>
      <c r="D777" s="55">
        <f>VLOOKUP(Exam_23,ScoringAccuracyTable,b6_accuracy,FALSE)</f>
      </c>
      <c r="E777" s="55">
        <f>VLOOKUP(Exam_23,ScoringAccuracyTable,b6_accuracy,FALSE)</f>
      </c>
      <c r="F777" s="55">
        <f>VLOOKUP(Exam_23,ScoringAccuracyTable,b6_accuracy,FALSE)</f>
      </c>
      <c r="G777" s="55">
        <f>VLOOKUP(Exam_23,ScoringAccuracyTable,b6_accuracy,FALSE)</f>
      </c>
    </row>
    <row r="780" spans="1:7" ht="13.5" customHeight="1">
      <c r="A780" s="131" t="s">
        <v>18</v>
      </c>
      <c r="B780" s="243" t="s">
        <v>70</v>
      </c>
      <c r="C780" s="243"/>
      <c r="D780" s="243"/>
      <c r="E780" s="243"/>
      <c r="F780" s="243"/>
      <c r="G780" s="243"/>
    </row>
    <row r="781" spans="1:7" ht="13.5" customHeight="1">
      <c r="A781" s="132">
        <f>Exam_24</f>
        <v>24</v>
      </c>
      <c r="B781" s="244"/>
      <c r="C781" s="244"/>
      <c r="D781" s="244"/>
      <c r="E781" s="244"/>
      <c r="F781" s="244"/>
      <c r="G781" s="244"/>
    </row>
    <row r="782" spans="2:7" ht="13.5" customHeight="1">
      <c r="B782" s="50" t="s">
        <v>68</v>
      </c>
      <c r="C782" s="54" t="s">
        <v>58</v>
      </c>
      <c r="D782" s="54" t="s">
        <v>59</v>
      </c>
      <c r="E782" s="54" t="s">
        <v>60</v>
      </c>
      <c r="F782" s="54" t="s">
        <v>61</v>
      </c>
      <c r="G782" s="54" t="s">
        <v>62</v>
      </c>
    </row>
    <row r="783" spans="2:7" ht="13.5" customHeight="1">
      <c r="B783" s="51" t="s">
        <v>63</v>
      </c>
      <c r="C783" s="55" t="e">
        <f>0.2*AVERAGE(VLOOKUP(Exam_24,Sum_Accuracy,9,FALSE),VLOOKUP(Exam_24,Sum_Accuracy,10,FALSE))</f>
        <v>#VALUE!</v>
      </c>
      <c r="D783" s="55" t="e">
        <f>0.2*AVERAGE(VLOOKUP(Exam_24,Sum_Accuracy,9,FALSE),VLOOKUP(Exam_24,Sum_Accuracy,10,FALSE))</f>
        <v>#VALUE!</v>
      </c>
      <c r="E783" s="55" t="e">
        <f>0.2*AVERAGE(VLOOKUP(Exam_24,Sum_Accuracy,9,FALSE),VLOOKUP(Exam_24,Sum_Accuracy,10,FALSE))</f>
        <v>#VALUE!</v>
      </c>
      <c r="F783" s="55" t="e">
        <f>0.2*AVERAGE(VLOOKUP(Exam_24,Sum_Accuracy,9,FALSE),VLOOKUP(Exam_24,Sum_Accuracy,10,FALSE))</f>
        <v>#VALUE!</v>
      </c>
      <c r="G783" s="55" t="e">
        <f>0.2*AVERAGE(VLOOKUP(Exam_24,Sum_Accuracy,9,FALSE),VLOOKUP(Exam_24,Sum_Accuracy,10,FALSE))</f>
        <v>#VALUE!</v>
      </c>
    </row>
    <row r="784" spans="2:7" ht="13.5" customHeight="1">
      <c r="B784" s="51" t="s">
        <v>69</v>
      </c>
      <c r="C784" s="55" t="e">
        <f>0.2*AVERAGE(VLOOKUP(Exam_24,Sum_Accuracy,11,FALSE),VLOOKUP(Exam_24,Sum_Accuracy,12,FALSE))</f>
        <v>#VALUE!</v>
      </c>
      <c r="D784" s="55" t="e">
        <f>0.2*AVERAGE(VLOOKUP(Exam_24,Sum_Accuracy,11,FALSE),VLOOKUP(Exam_24,Sum_Accuracy,12,FALSE))</f>
        <v>#VALUE!</v>
      </c>
      <c r="E784" s="55" t="e">
        <f>0.2*AVERAGE(VLOOKUP(Exam_24,Sum_Accuracy,11,FALSE),VLOOKUP(Exam_24,Sum_Accuracy,12,FALSE))</f>
        <v>#VALUE!</v>
      </c>
      <c r="F784" s="55" t="e">
        <f>0.2*AVERAGE(VLOOKUP(Exam_24,Sum_Accuracy,11,FALSE),VLOOKUP(Exam_24,Sum_Accuracy,12,FALSE))</f>
        <v>#VALUE!</v>
      </c>
      <c r="G784" s="55" t="e">
        <f>0.2*AVERAGE(VLOOKUP(Exam_24,Sum_Accuracy,11,FALSE),VLOOKUP(Exam_24,Sum_Accuracy,12,FALSE))</f>
        <v>#VALUE!</v>
      </c>
    </row>
    <row r="785" spans="2:7" ht="13.5" customHeight="1">
      <c r="B785" s="51" t="s">
        <v>64</v>
      </c>
      <c r="C785" s="55" t="e">
        <f>0.2*AVERAGE(VLOOKUP(Exam_24,Sum_Accuracy,13,FALSE),VLOOKUP(Exam_24,Sum_Accuracy,14,FALSE))</f>
        <v>#VALUE!</v>
      </c>
      <c r="D785" s="55" t="e">
        <f>0.2*AVERAGE(VLOOKUP(Exam_24,Sum_Accuracy,13,FALSE),VLOOKUP(Exam_24,Sum_Accuracy,14,FALSE))</f>
        <v>#VALUE!</v>
      </c>
      <c r="E785" s="55" t="e">
        <f>0.2*AVERAGE(VLOOKUP(Exam_24,Sum_Accuracy,13,FALSE),VLOOKUP(Exam_24,Sum_Accuracy,14,FALSE))</f>
        <v>#VALUE!</v>
      </c>
      <c r="F785" s="55" t="e">
        <f>0.2*AVERAGE(VLOOKUP(Exam_24,Sum_Accuracy,13,FALSE),VLOOKUP(Exam_24,Sum_Accuracy,14,FALSE))</f>
        <v>#VALUE!</v>
      </c>
      <c r="G785" s="55" t="e">
        <f>0.2*AVERAGE(VLOOKUP(Exam_24,Sum_Accuracy,13,FALSE),VLOOKUP(Exam_24,Sum_Accuracy,14,FALSE))</f>
        <v>#VALUE!</v>
      </c>
    </row>
    <row r="786" spans="2:7" ht="13.5" customHeight="1">
      <c r="B786" s="51" t="s">
        <v>65</v>
      </c>
      <c r="C786" s="55" t="e">
        <f>0.2*AVERAGE(VLOOKUP(Exam_24,Sum_Accuracy,15,FALSE),VLOOKUP(Exam_24,Sum_Accuracy,16,FALSE))</f>
        <v>#VALUE!</v>
      </c>
      <c r="D786" s="55" t="e">
        <f>0.2*AVERAGE(VLOOKUP(Exam_24,Sum_Accuracy,15,FALSE),VLOOKUP(Exam_24,Sum_Accuracy,16,FALSE))</f>
        <v>#VALUE!</v>
      </c>
      <c r="E786" s="55" t="e">
        <f>0.2*AVERAGE(VLOOKUP(Exam_24,Sum_Accuracy,15,FALSE),VLOOKUP(Exam_24,Sum_Accuracy,16,FALSE))</f>
        <v>#VALUE!</v>
      </c>
      <c r="F786" s="55" t="e">
        <f>0.2*AVERAGE(VLOOKUP(Exam_24,Sum_Accuracy,15,FALSE),VLOOKUP(Exam_24,Sum_Accuracy,16,FALSE))</f>
        <v>#VALUE!</v>
      </c>
      <c r="G786" s="55" t="e">
        <f>0.2*AVERAGE(VLOOKUP(Exam_24,Sum_Accuracy,15,FALSE),VLOOKUP(Exam_24,Sum_Accuracy,16,FALSE))</f>
        <v>#VALUE!</v>
      </c>
    </row>
    <row r="787" spans="2:7" ht="13.5" customHeight="1">
      <c r="B787" s="51" t="s">
        <v>66</v>
      </c>
      <c r="C787" s="55" t="e">
        <f>VLOOKUP(Exam_24,Sum_Accuracy,8,FALSE)/5</f>
        <v>#VALUE!</v>
      </c>
      <c r="D787" s="55" t="e">
        <f>VLOOKUP(Exam_24,Sum_Accuracy,8,FALSE)/5</f>
        <v>#VALUE!</v>
      </c>
      <c r="E787" s="55" t="e">
        <f>VLOOKUP(Exam_24,Sum_Accuracy,8,FALSE)/5</f>
        <v>#VALUE!</v>
      </c>
      <c r="F787" s="55" t="e">
        <f>VLOOKUP(Exam_24,Sum_Accuracy,8,FALSE)/5</f>
        <v>#VALUE!</v>
      </c>
      <c r="G787" s="55" t="e">
        <f>VLOOKUP(Exam_24,Sum_Accuracy,8,FALSE)/5</f>
        <v>#VALUE!</v>
      </c>
    </row>
    <row r="788" spans="2:7" ht="13.5" customHeight="1">
      <c r="B788" s="241"/>
      <c r="C788" s="241"/>
      <c r="D788" s="241"/>
      <c r="E788" s="241"/>
      <c r="F788" s="241"/>
      <c r="G788" s="241"/>
    </row>
    <row r="790" spans="2:7" ht="13.5" customHeight="1">
      <c r="B790" s="245" t="s">
        <v>67</v>
      </c>
      <c r="C790" s="245"/>
      <c r="D790" s="245"/>
      <c r="E790" s="245"/>
      <c r="F790" s="245"/>
      <c r="G790" s="245"/>
    </row>
    <row r="791" spans="2:7" ht="13.5" customHeight="1">
      <c r="B791" s="246"/>
      <c r="C791" s="246"/>
      <c r="D791" s="246"/>
      <c r="E791" s="246"/>
      <c r="F791" s="246"/>
      <c r="G791" s="246"/>
    </row>
    <row r="792" spans="2:7" ht="13.5" customHeight="1">
      <c r="B792" s="52" t="s">
        <v>71</v>
      </c>
      <c r="C792" s="242" t="str">
        <f>BeerName1</f>
        <v>Style1</v>
      </c>
      <c r="D792" s="242"/>
      <c r="E792" s="242"/>
      <c r="F792" s="242"/>
      <c r="G792" s="242"/>
    </row>
    <row r="793" spans="2:7" ht="13.5" customHeight="1">
      <c r="B793" s="241"/>
      <c r="C793" s="241"/>
      <c r="D793" s="241"/>
      <c r="E793" s="241"/>
      <c r="F793" s="241"/>
      <c r="G793" s="241"/>
    </row>
    <row r="794" spans="2:7" ht="13.5" customHeight="1">
      <c r="B794" s="50" t="s">
        <v>68</v>
      </c>
      <c r="C794" s="54" t="s">
        <v>58</v>
      </c>
      <c r="D794" s="54" t="s">
        <v>59</v>
      </c>
      <c r="E794" s="54" t="s">
        <v>60</v>
      </c>
      <c r="F794" s="54" t="s">
        <v>61</v>
      </c>
      <c r="G794" s="54" t="s">
        <v>62</v>
      </c>
    </row>
    <row r="795" spans="2:7" ht="13.5" customHeight="1">
      <c r="B795" s="51" t="s">
        <v>63</v>
      </c>
      <c r="C795" s="55">
        <f>VLOOKUP(Exam_24,AverageScores,b1_perception,FALSE)</f>
        <v>0</v>
      </c>
      <c r="D795" s="55">
        <f>VLOOKUP(Exam_24,AverageScores,b1_perception,FALSE)</f>
        <v>0</v>
      </c>
      <c r="E795" s="55">
        <f>VLOOKUP(Exam_24,AverageScores,b1_perception,FALSE)</f>
        <v>0</v>
      </c>
      <c r="F795" s="55">
        <f>VLOOKUP(Exam_24,AverageScores,b1_perception,FALSE)</f>
        <v>0</v>
      </c>
      <c r="G795" s="55">
        <f>VLOOKUP(Exam_24,AverageScores,b1_perception,FALSE)</f>
        <v>0</v>
      </c>
    </row>
    <row r="796" spans="2:7" ht="13.5" customHeight="1">
      <c r="B796" s="51" t="s">
        <v>69</v>
      </c>
      <c r="C796" s="55">
        <f>VLOOKUP(Exam_24,AverageScores,b1_descriptive,FALSE)</f>
        <v>0</v>
      </c>
      <c r="D796" s="55">
        <f>VLOOKUP(Exam_24,AverageScores,b1_descriptive,FALSE)</f>
        <v>0</v>
      </c>
      <c r="E796" s="55">
        <f>VLOOKUP(Exam_24,AverageScores,b1_descriptive,FALSE)</f>
        <v>0</v>
      </c>
      <c r="F796" s="55">
        <f>VLOOKUP(Exam_24,AverageScores,b1_descriptive,FALSE)</f>
        <v>0</v>
      </c>
      <c r="G796" s="55">
        <f>VLOOKUP(Exam_24,AverageScores,b1_descriptive,FALSE)</f>
        <v>0</v>
      </c>
    </row>
    <row r="797" spans="2:7" ht="13.5" customHeight="1">
      <c r="B797" s="51" t="s">
        <v>64</v>
      </c>
      <c r="C797" s="55">
        <f>VLOOKUP(Exam_24,AverageScores,b1_feedback,FALSE)</f>
        <v>0</v>
      </c>
      <c r="D797" s="55">
        <f>VLOOKUP(Exam_24,AverageScores,b1_feedback,FALSE)</f>
        <v>0</v>
      </c>
      <c r="E797" s="55">
        <f>VLOOKUP(Exam_24,AverageScores,b1_feedback,FALSE)</f>
        <v>0</v>
      </c>
      <c r="F797" s="55">
        <f>VLOOKUP(Exam_24,AverageScores,b1_feedback,FALSE)</f>
        <v>0</v>
      </c>
      <c r="G797" s="55">
        <f>VLOOKUP(Exam_24,AverageScores,b1_feedback,FALSE)</f>
        <v>0</v>
      </c>
    </row>
    <row r="798" spans="2:7" ht="13.5" customHeight="1">
      <c r="B798" s="51" t="s">
        <v>65</v>
      </c>
      <c r="C798" s="55">
        <f>VLOOKUP(Exam_24,AverageScores,b1_completeness,FALSE)</f>
        <v>0</v>
      </c>
      <c r="D798" s="55">
        <f>VLOOKUP(Exam_24,AverageScores,b1_completeness,FALSE)</f>
        <v>0</v>
      </c>
      <c r="E798" s="55">
        <f>VLOOKUP(Exam_24,AverageScores,b1_completeness,FALSE)</f>
        <v>0</v>
      </c>
      <c r="F798" s="55">
        <f>VLOOKUP(Exam_24,AverageScores,b1_completeness,FALSE)</f>
        <v>0</v>
      </c>
      <c r="G798" s="55">
        <f>VLOOKUP(Exam_24,AverageScores,b1_completeness,FALSE)</f>
        <v>0</v>
      </c>
    </row>
    <row r="799" spans="2:7" ht="13.5" customHeight="1">
      <c r="B799" s="51" t="s">
        <v>66</v>
      </c>
      <c r="C799" s="55">
        <f>VLOOKUP(Exam_24,ScoringAccuracyTable,b1_accuracy,FALSE)</f>
      </c>
      <c r="D799" s="55">
        <f>VLOOKUP(Exam_24,ScoringAccuracyTable,b1_accuracy,FALSE)</f>
      </c>
      <c r="E799" s="55">
        <f>VLOOKUP(Exam_24,ScoringAccuracyTable,b1_accuracy,FALSE)</f>
      </c>
      <c r="F799" s="55">
        <f>VLOOKUP(Exam_24,ScoringAccuracyTable,b1_accuracy,FALSE)</f>
      </c>
      <c r="G799" s="55">
        <f>VLOOKUP(Exam_24,ScoringAccuracyTable,b1_accuracy,FALSE)</f>
      </c>
    </row>
    <row r="800" spans="2:7" ht="13.5" customHeight="1">
      <c r="B800" s="241"/>
      <c r="C800" s="241"/>
      <c r="D800" s="241"/>
      <c r="E800" s="241"/>
      <c r="F800" s="241"/>
      <c r="G800" s="241"/>
    </row>
    <row r="801" spans="2:7" ht="13.5" customHeight="1">
      <c r="B801" s="52" t="s">
        <v>72</v>
      </c>
      <c r="C801" s="242" t="str">
        <f>BeerName2</f>
        <v>Style2</v>
      </c>
      <c r="D801" s="242"/>
      <c r="E801" s="242"/>
      <c r="F801" s="242"/>
      <c r="G801" s="242"/>
    </row>
    <row r="802" spans="2:7" ht="13.5" customHeight="1">
      <c r="B802" s="247"/>
      <c r="C802" s="247"/>
      <c r="D802" s="247"/>
      <c r="E802" s="247"/>
      <c r="F802" s="247"/>
      <c r="G802" s="247"/>
    </row>
    <row r="803" spans="2:7" ht="13.5" customHeight="1">
      <c r="B803" s="50" t="s">
        <v>68</v>
      </c>
      <c r="C803" s="56" t="s">
        <v>58</v>
      </c>
      <c r="D803" s="56" t="s">
        <v>59</v>
      </c>
      <c r="E803" s="56" t="s">
        <v>60</v>
      </c>
      <c r="F803" s="56" t="s">
        <v>61</v>
      </c>
      <c r="G803" s="56" t="s">
        <v>62</v>
      </c>
    </row>
    <row r="804" spans="2:7" ht="13.5" customHeight="1">
      <c r="B804" s="51" t="s">
        <v>63</v>
      </c>
      <c r="C804" s="55">
        <f>VLOOKUP(Exam_24,AverageScores,b2_perceptive,FALSE)</f>
        <v>0</v>
      </c>
      <c r="D804" s="55">
        <f>VLOOKUP(Exam_24,AverageScores,b2_perceptive,FALSE)</f>
        <v>0</v>
      </c>
      <c r="E804" s="55">
        <f>VLOOKUP(Exam_24,AverageScores,b2_perceptive,FALSE)</f>
        <v>0</v>
      </c>
      <c r="F804" s="55">
        <f>VLOOKUP(Exam_24,AverageScores,b2_perceptive,FALSE)</f>
        <v>0</v>
      </c>
      <c r="G804" s="55">
        <f>VLOOKUP(Exam_24,AverageScores,b2_perceptive,FALSE)</f>
        <v>0</v>
      </c>
    </row>
    <row r="805" spans="2:7" ht="13.5" customHeight="1">
      <c r="B805" s="51" t="s">
        <v>69</v>
      </c>
      <c r="C805" s="55">
        <f>VLOOKUP(Exam_24,AverageScores,b2_descriptive,FALSE)</f>
        <v>0</v>
      </c>
      <c r="D805" s="55">
        <f>VLOOKUP(Exam_24,AverageScores,b2_descriptive,FALSE)</f>
        <v>0</v>
      </c>
      <c r="E805" s="55">
        <f>VLOOKUP(Exam_24,AverageScores,b2_descriptive,FALSE)</f>
        <v>0</v>
      </c>
      <c r="F805" s="55">
        <f>VLOOKUP(Exam_24,AverageScores,b2_descriptive,FALSE)</f>
        <v>0</v>
      </c>
      <c r="G805" s="55">
        <f>VLOOKUP(Exam_24,AverageScores,b2_descriptive,FALSE)</f>
        <v>0</v>
      </c>
    </row>
    <row r="806" spans="2:7" ht="13.5" customHeight="1">
      <c r="B806" s="51" t="s">
        <v>64</v>
      </c>
      <c r="C806" s="55">
        <f>VLOOKUP(Exam_24,AverageScores,b2_feedback,FALSE)</f>
        <v>0</v>
      </c>
      <c r="D806" s="55">
        <f>VLOOKUP(Exam_24,AverageScores,b2_feedback,FALSE)</f>
        <v>0</v>
      </c>
      <c r="E806" s="55">
        <f>VLOOKUP(Exam_24,AverageScores,b2_feedback,FALSE)</f>
        <v>0</v>
      </c>
      <c r="F806" s="55">
        <f>VLOOKUP(Exam_24,AverageScores,b2_feedback,FALSE)</f>
        <v>0</v>
      </c>
      <c r="G806" s="55">
        <f>VLOOKUP(Exam_24,AverageScores,b2_feedback,FALSE)</f>
        <v>0</v>
      </c>
    </row>
    <row r="807" spans="2:7" ht="13.5" customHeight="1">
      <c r="B807" s="51" t="s">
        <v>65</v>
      </c>
      <c r="C807" s="55">
        <f>VLOOKUP(Exam_24,AverageScores,b2_completeness,FALSE)</f>
        <v>0</v>
      </c>
      <c r="D807" s="55">
        <f>VLOOKUP(Exam_24,AverageScores,b2_completeness,FALSE)</f>
        <v>0</v>
      </c>
      <c r="E807" s="55">
        <f>VLOOKUP(Exam_24,AverageScores,b2_completeness,FALSE)</f>
        <v>0</v>
      </c>
      <c r="F807" s="55">
        <f>VLOOKUP(Exam_24,AverageScores,b2_completeness,FALSE)</f>
        <v>0</v>
      </c>
      <c r="G807" s="55">
        <f>VLOOKUP(Exam_24,AverageScores,b2_completeness,FALSE)</f>
        <v>0</v>
      </c>
    </row>
    <row r="808" spans="2:7" ht="13.5" customHeight="1">
      <c r="B808" s="51" t="s">
        <v>66</v>
      </c>
      <c r="C808" s="55">
        <f>VLOOKUP(Exam_24,ScoringAccuracyTable,b2_accuracy,FALSE)</f>
      </c>
      <c r="D808" s="55">
        <f>VLOOKUP(Exam_24,ScoringAccuracyTable,b2_accuracy,FALSE)</f>
      </c>
      <c r="E808" s="55">
        <f>VLOOKUP(Exam_24,ScoringAccuracyTable,b2_accuracy,FALSE)</f>
      </c>
      <c r="F808" s="55">
        <f>VLOOKUP(Exam_24,ScoringAccuracyTable,b2_accuracy,FALSE)</f>
      </c>
      <c r="G808" s="55">
        <f>VLOOKUP(Exam_24,ScoringAccuracyTable,b2_accuracy,FALSE)</f>
      </c>
    </row>
    <row r="809" spans="2:7" ht="13.5" customHeight="1">
      <c r="B809" s="241"/>
      <c r="C809" s="241"/>
      <c r="D809" s="241"/>
      <c r="E809" s="241"/>
      <c r="F809" s="241"/>
      <c r="G809" s="241"/>
    </row>
    <row r="810" spans="2:7" ht="13.5" customHeight="1">
      <c r="B810" s="52" t="s">
        <v>76</v>
      </c>
      <c r="C810" s="242" t="str">
        <f>BeerName3</f>
        <v>Style3</v>
      </c>
      <c r="D810" s="242"/>
      <c r="E810" s="242"/>
      <c r="F810" s="242"/>
      <c r="G810" s="242"/>
    </row>
    <row r="811" spans="2:7" ht="13.5" customHeight="1">
      <c r="B811" s="247"/>
      <c r="C811" s="247"/>
      <c r="D811" s="247"/>
      <c r="E811" s="247"/>
      <c r="F811" s="247"/>
      <c r="G811" s="247"/>
    </row>
    <row r="812" spans="2:7" ht="13.5" customHeight="1">
      <c r="B812" s="50" t="s">
        <v>68</v>
      </c>
      <c r="C812" s="54" t="s">
        <v>58</v>
      </c>
      <c r="D812" s="54" t="s">
        <v>59</v>
      </c>
      <c r="E812" s="54" t="s">
        <v>60</v>
      </c>
      <c r="F812" s="54" t="s">
        <v>61</v>
      </c>
      <c r="G812" s="54" t="s">
        <v>62</v>
      </c>
    </row>
    <row r="813" spans="2:7" ht="13.5" customHeight="1">
      <c r="B813" s="51" t="s">
        <v>63</v>
      </c>
      <c r="C813" s="55">
        <f>VLOOKUP(Exam_24,AverageScores,b3_perception,FALSE)</f>
        <v>0</v>
      </c>
      <c r="D813" s="55">
        <f>VLOOKUP(Exam_24,AverageScores,b3_perception,FALSE)</f>
        <v>0</v>
      </c>
      <c r="E813" s="55">
        <f>VLOOKUP(Exam_24,AverageScores,b3_perception,FALSE)</f>
        <v>0</v>
      </c>
      <c r="F813" s="55">
        <f>VLOOKUP(Exam_24,AverageScores,b3_perception,FALSE)</f>
        <v>0</v>
      </c>
      <c r="G813" s="55">
        <f>VLOOKUP(Exam_24,AverageScores,b3_perception,FALSE)</f>
        <v>0</v>
      </c>
    </row>
    <row r="814" spans="2:7" ht="13.5" customHeight="1">
      <c r="B814" s="51" t="s">
        <v>69</v>
      </c>
      <c r="C814" s="55">
        <f>VLOOKUP(Exam_24,AverageScores,b3_descriptive,FALSE)</f>
        <v>0</v>
      </c>
      <c r="D814" s="55">
        <f>VLOOKUP(Exam_24,AverageScores,b3_descriptive,FALSE)</f>
        <v>0</v>
      </c>
      <c r="E814" s="55">
        <f>VLOOKUP(Exam_24,AverageScores,b3_descriptive,FALSE)</f>
        <v>0</v>
      </c>
      <c r="F814" s="55">
        <f>VLOOKUP(Exam_24,AverageScores,b3_descriptive,FALSE)</f>
        <v>0</v>
      </c>
      <c r="G814" s="55">
        <f>VLOOKUP(Exam_24,AverageScores,b3_descriptive,FALSE)</f>
        <v>0</v>
      </c>
    </row>
    <row r="815" spans="2:7" ht="13.5" customHeight="1">
      <c r="B815" s="51" t="s">
        <v>64</v>
      </c>
      <c r="C815" s="55">
        <f>VLOOKUP(Exam_24,AverageScores,b3_feedback,FALSE)</f>
        <v>0</v>
      </c>
      <c r="D815" s="55">
        <f>VLOOKUP(Exam_24,AverageScores,b3_feedback,FALSE)</f>
        <v>0</v>
      </c>
      <c r="E815" s="55">
        <f>VLOOKUP(Exam_24,AverageScores,b3_feedback,FALSE)</f>
        <v>0</v>
      </c>
      <c r="F815" s="55">
        <f>VLOOKUP(Exam_24,AverageScores,b3_feedback,FALSE)</f>
        <v>0</v>
      </c>
      <c r="G815" s="55">
        <f>VLOOKUP(Exam_24,AverageScores,b3_feedback,FALSE)</f>
        <v>0</v>
      </c>
    </row>
    <row r="816" spans="2:7" ht="13.5" customHeight="1">
      <c r="B816" s="51" t="s">
        <v>65</v>
      </c>
      <c r="C816" s="55">
        <f>VLOOKUP(Exam_24,AverageScores,b3_completeness,FALSE)</f>
        <v>0</v>
      </c>
      <c r="D816" s="55">
        <f>VLOOKUP(Exam_24,AverageScores,b3_completeness,FALSE)</f>
        <v>0</v>
      </c>
      <c r="E816" s="55">
        <f>VLOOKUP(Exam_24,AverageScores,b3_completeness,FALSE)</f>
        <v>0</v>
      </c>
      <c r="F816" s="55">
        <f>VLOOKUP(Exam_24,AverageScores,b3_completeness,FALSE)</f>
        <v>0</v>
      </c>
      <c r="G816" s="55">
        <f>VLOOKUP(Exam_24,AverageScores,b3_completeness,FALSE)</f>
        <v>0</v>
      </c>
    </row>
    <row r="817" spans="2:7" ht="13.5" customHeight="1">
      <c r="B817" s="51" t="s">
        <v>66</v>
      </c>
      <c r="C817" s="55">
        <f>VLOOKUP(Exam_24,ScoringAccuracyTable,b3_accuracy,FALSE)</f>
      </c>
      <c r="D817" s="55">
        <f>VLOOKUP(Exam_24,ScoringAccuracyTable,b3_accuracy,FALSE)</f>
      </c>
      <c r="E817" s="55">
        <f>VLOOKUP(Exam_24,ScoringAccuracyTable,b3_accuracy,FALSE)</f>
      </c>
      <c r="F817" s="55">
        <f>VLOOKUP(Exam_24,ScoringAccuracyTable,b3_accuracy,FALSE)</f>
      </c>
      <c r="G817" s="55">
        <f>VLOOKUP(Exam_24,ScoringAccuracyTable,b3_accuracy,FALSE)</f>
      </c>
    </row>
    <row r="818" spans="2:7" ht="13.5" customHeight="1">
      <c r="B818" s="241"/>
      <c r="C818" s="241"/>
      <c r="D818" s="241"/>
      <c r="E818" s="241"/>
      <c r="F818" s="241"/>
      <c r="G818" s="241"/>
    </row>
    <row r="819" spans="2:7" ht="13.5" customHeight="1">
      <c r="B819" s="52" t="s">
        <v>75</v>
      </c>
      <c r="C819" s="242" t="str">
        <f>BeerName4</f>
        <v>Style4</v>
      </c>
      <c r="D819" s="242"/>
      <c r="E819" s="242"/>
      <c r="F819" s="242"/>
      <c r="G819" s="242"/>
    </row>
    <row r="820" spans="2:7" ht="13.5" customHeight="1">
      <c r="B820" s="241"/>
      <c r="C820" s="241"/>
      <c r="D820" s="241"/>
      <c r="E820" s="241"/>
      <c r="F820" s="241"/>
      <c r="G820" s="241"/>
    </row>
    <row r="821" spans="2:7" ht="13.5" customHeight="1">
      <c r="B821" s="50" t="s">
        <v>68</v>
      </c>
      <c r="C821" s="54" t="s">
        <v>58</v>
      </c>
      <c r="D821" s="54" t="s">
        <v>59</v>
      </c>
      <c r="E821" s="54" t="s">
        <v>60</v>
      </c>
      <c r="F821" s="54" t="s">
        <v>61</v>
      </c>
      <c r="G821" s="54" t="s">
        <v>62</v>
      </c>
    </row>
    <row r="822" spans="2:7" ht="13.5" customHeight="1">
      <c r="B822" s="51" t="s">
        <v>63</v>
      </c>
      <c r="C822" s="55">
        <f>VLOOKUP(Exam_24,AverageScores,b4_perception,FALSE)</f>
        <v>0</v>
      </c>
      <c r="D822" s="55">
        <f>VLOOKUP(Exam_24,AverageScores,b4_perception,FALSE)</f>
        <v>0</v>
      </c>
      <c r="E822" s="55">
        <f>VLOOKUP(Exam_24,AverageScores,b4_perception,FALSE)</f>
        <v>0</v>
      </c>
      <c r="F822" s="55">
        <f>VLOOKUP(Exam_24,AverageScores,b4_perception,FALSE)</f>
        <v>0</v>
      </c>
      <c r="G822" s="55">
        <f>VLOOKUP(Exam_24,AverageScores,b4_perception,FALSE)</f>
        <v>0</v>
      </c>
    </row>
    <row r="823" spans="2:7" ht="13.5" customHeight="1">
      <c r="B823" s="51" t="s">
        <v>69</v>
      </c>
      <c r="C823" s="55">
        <f>VLOOKUP(Exam_24,AverageScores,b4_descriptive,FALSE)</f>
        <v>0</v>
      </c>
      <c r="D823" s="55">
        <f>VLOOKUP(Exam_24,AverageScores,b4_descriptive,FALSE)</f>
        <v>0</v>
      </c>
      <c r="E823" s="55">
        <f>VLOOKUP(Exam_24,AverageScores,b4_descriptive,FALSE)</f>
        <v>0</v>
      </c>
      <c r="F823" s="55">
        <f>VLOOKUP(Exam_24,AverageScores,b4_descriptive,FALSE)</f>
        <v>0</v>
      </c>
      <c r="G823" s="55">
        <f>VLOOKUP(Exam_24,AverageScores,b4_descriptive,FALSE)</f>
        <v>0</v>
      </c>
    </row>
    <row r="824" spans="2:7" ht="13.5" customHeight="1">
      <c r="B824" s="51" t="s">
        <v>64</v>
      </c>
      <c r="C824" s="55">
        <f>VLOOKUP(Exam_24,AverageScores,b4_feedback,FALSE)</f>
        <v>0</v>
      </c>
      <c r="D824" s="55">
        <f>VLOOKUP(Exam_24,AverageScores,b4_feedback,FALSE)</f>
        <v>0</v>
      </c>
      <c r="E824" s="55">
        <f>VLOOKUP(Exam_24,AverageScores,b4_feedback,FALSE)</f>
        <v>0</v>
      </c>
      <c r="F824" s="55">
        <f>VLOOKUP(Exam_24,AverageScores,b4_feedback,FALSE)</f>
        <v>0</v>
      </c>
      <c r="G824" s="55">
        <f>VLOOKUP(Exam_24,AverageScores,b4_feedback,FALSE)</f>
        <v>0</v>
      </c>
    </row>
    <row r="825" spans="2:7" ht="13.5" customHeight="1">
      <c r="B825" s="51" t="s">
        <v>65</v>
      </c>
      <c r="C825" s="55">
        <f>VLOOKUP(Exam_24,AverageScores,b4_completeness,FALSE)</f>
        <v>0</v>
      </c>
      <c r="D825" s="55">
        <f>VLOOKUP(Exam_24,AverageScores,b4_completeness,FALSE)</f>
        <v>0</v>
      </c>
      <c r="E825" s="55">
        <f>VLOOKUP(Exam_24,AverageScores,b4_completeness,FALSE)</f>
        <v>0</v>
      </c>
      <c r="F825" s="55">
        <f>VLOOKUP(Exam_24,AverageScores,b4_completeness,FALSE)</f>
        <v>0</v>
      </c>
      <c r="G825" s="55">
        <f>VLOOKUP(Exam_24,AverageScores,b4_completeness,FALSE)</f>
        <v>0</v>
      </c>
    </row>
    <row r="826" spans="2:7" ht="13.5" customHeight="1">
      <c r="B826" s="51" t="s">
        <v>66</v>
      </c>
      <c r="C826" s="55">
        <f>VLOOKUP(Exam_24,ScoringAccuracyTable,b4_accuracy,FALSE)</f>
      </c>
      <c r="D826" s="55">
        <f>VLOOKUP(Exam_24,ScoringAccuracyTable,b4_accuracy,FALSE)</f>
      </c>
      <c r="E826" s="55">
        <f>VLOOKUP(Exam_24,ScoringAccuracyTable,b4_accuracy,FALSE)</f>
      </c>
      <c r="F826" s="55">
        <f>VLOOKUP(Exam_24,ScoringAccuracyTable,b4_accuracy,FALSE)</f>
      </c>
      <c r="G826" s="55">
        <f>VLOOKUP(Exam_24,ScoringAccuracyTable,b4_accuracy,FALSE)</f>
      </c>
    </row>
    <row r="827" spans="2:7" ht="13.5" customHeight="1">
      <c r="B827" s="241"/>
      <c r="C827" s="241"/>
      <c r="D827" s="241"/>
      <c r="E827" s="241"/>
      <c r="F827" s="241"/>
      <c r="G827" s="241"/>
    </row>
    <row r="832" spans="2:7" ht="13.5" customHeight="1">
      <c r="B832" s="52" t="s">
        <v>74</v>
      </c>
      <c r="C832" s="242" t="str">
        <f>BeerName5</f>
        <v>Style5</v>
      </c>
      <c r="D832" s="242"/>
      <c r="E832" s="242"/>
      <c r="F832" s="242"/>
      <c r="G832" s="242"/>
    </row>
    <row r="833" spans="2:7" ht="13.5" customHeight="1">
      <c r="B833" s="241"/>
      <c r="C833" s="241"/>
      <c r="D833" s="241"/>
      <c r="E833" s="241"/>
      <c r="F833" s="241"/>
      <c r="G833" s="241"/>
    </row>
    <row r="834" spans="2:7" ht="13.5" customHeight="1">
      <c r="B834" s="50" t="s">
        <v>68</v>
      </c>
      <c r="C834" s="54" t="s">
        <v>58</v>
      </c>
      <c r="D834" s="54" t="s">
        <v>59</v>
      </c>
      <c r="E834" s="54" t="s">
        <v>60</v>
      </c>
      <c r="F834" s="54" t="s">
        <v>61</v>
      </c>
      <c r="G834" s="54" t="s">
        <v>62</v>
      </c>
    </row>
    <row r="835" spans="2:7" ht="13.5" customHeight="1">
      <c r="B835" s="51" t="s">
        <v>63</v>
      </c>
      <c r="C835" s="55">
        <f>VLOOKUP(Exam_24,AverageScores,b5_perception,FALSE)</f>
        <v>0</v>
      </c>
      <c r="D835" s="55">
        <f>VLOOKUP(Exam_24,AverageScores,b5_perception,FALSE)</f>
        <v>0</v>
      </c>
      <c r="E835" s="55">
        <f>VLOOKUP(Exam_24,AverageScores,b5_perception,FALSE)</f>
        <v>0</v>
      </c>
      <c r="F835" s="55">
        <f>VLOOKUP(Exam_24,AverageScores,b5_perception,FALSE)</f>
        <v>0</v>
      </c>
      <c r="G835" s="55">
        <f>VLOOKUP(Exam_24,AverageScores,b5_perception,FALSE)</f>
        <v>0</v>
      </c>
    </row>
    <row r="836" spans="2:7" ht="13.5" customHeight="1">
      <c r="B836" s="51" t="s">
        <v>69</v>
      </c>
      <c r="C836" s="55">
        <f>VLOOKUP(Exam_24,AverageScores,b5_descriptive,FALSE)</f>
        <v>0</v>
      </c>
      <c r="D836" s="55">
        <f>VLOOKUP(Exam_24,AverageScores,b5_descriptive,FALSE)</f>
        <v>0</v>
      </c>
      <c r="E836" s="55">
        <f>VLOOKUP(Exam_24,AverageScores,b5_descriptive,FALSE)</f>
        <v>0</v>
      </c>
      <c r="F836" s="55">
        <f>VLOOKUP(Exam_24,AverageScores,b5_descriptive,FALSE)</f>
        <v>0</v>
      </c>
      <c r="G836" s="55">
        <f>VLOOKUP(Exam_24,AverageScores,b5_descriptive,FALSE)</f>
        <v>0</v>
      </c>
    </row>
    <row r="837" spans="2:7" ht="13.5" customHeight="1">
      <c r="B837" s="51" t="s">
        <v>64</v>
      </c>
      <c r="C837" s="55">
        <f>VLOOKUP(Exam_24,AverageScores,b5_feedback,FALSE)</f>
        <v>0</v>
      </c>
      <c r="D837" s="55">
        <f>VLOOKUP(Exam_24,AverageScores,b5_feedback,FALSE)</f>
        <v>0</v>
      </c>
      <c r="E837" s="55">
        <f>VLOOKUP(Exam_24,AverageScores,b5_feedback,FALSE)</f>
        <v>0</v>
      </c>
      <c r="F837" s="55">
        <f>VLOOKUP(Exam_24,AverageScores,b5_feedback,FALSE)</f>
        <v>0</v>
      </c>
      <c r="G837" s="55">
        <f>VLOOKUP(Exam_24,AverageScores,b5_feedback,FALSE)</f>
        <v>0</v>
      </c>
    </row>
    <row r="838" spans="2:7" ht="13.5" customHeight="1">
      <c r="B838" s="51" t="s">
        <v>65</v>
      </c>
      <c r="C838" s="55">
        <f>VLOOKUP(Exam_24,AverageScores,b5_completeness,FALSE)</f>
        <v>0</v>
      </c>
      <c r="D838" s="55">
        <f>VLOOKUP(Exam_24,AverageScores,b5_completeness,FALSE)</f>
        <v>0</v>
      </c>
      <c r="E838" s="55">
        <f>VLOOKUP(Exam_24,AverageScores,b5_completeness,FALSE)</f>
        <v>0</v>
      </c>
      <c r="F838" s="55">
        <f>VLOOKUP(Exam_24,AverageScores,b5_completeness,FALSE)</f>
        <v>0</v>
      </c>
      <c r="G838" s="55">
        <f>VLOOKUP(Exam_24,AverageScores,b5_completeness,FALSE)</f>
        <v>0</v>
      </c>
    </row>
    <row r="839" spans="2:7" ht="13.5" customHeight="1">
      <c r="B839" s="51" t="s">
        <v>66</v>
      </c>
      <c r="C839" s="55">
        <f>VLOOKUP(Exam_24,ScoringAccuracyTable,b5_accuracy,FALSE)</f>
      </c>
      <c r="D839" s="55">
        <f>VLOOKUP(Exam_24,ScoringAccuracyTable,b5_accuracy,FALSE)</f>
      </c>
      <c r="E839" s="55">
        <f>VLOOKUP(Exam_24,ScoringAccuracyTable,b5_accuracy,FALSE)</f>
      </c>
      <c r="F839" s="55">
        <f>VLOOKUP(Exam_24,ScoringAccuracyTable,b5_accuracy,FALSE)</f>
      </c>
      <c r="G839" s="55">
        <f>VLOOKUP(Exam_24,ScoringAccuracyTable,b5_accuracy,FALSE)</f>
      </c>
    </row>
    <row r="840" spans="2:7" ht="13.5" customHeight="1">
      <c r="B840" s="241"/>
      <c r="C840" s="241"/>
      <c r="D840" s="241"/>
      <c r="E840" s="241"/>
      <c r="F840" s="241"/>
      <c r="G840" s="241"/>
    </row>
    <row r="841" spans="2:7" ht="13.5" customHeight="1">
      <c r="B841" s="52" t="s">
        <v>73</v>
      </c>
      <c r="C841" s="242" t="str">
        <f>BeerName6</f>
        <v>Style6</v>
      </c>
      <c r="D841" s="242"/>
      <c r="E841" s="242"/>
      <c r="F841" s="242"/>
      <c r="G841" s="242"/>
    </row>
    <row r="842" spans="2:7" ht="13.5" customHeight="1">
      <c r="B842" s="241"/>
      <c r="C842" s="241"/>
      <c r="D842" s="241"/>
      <c r="E842" s="241"/>
      <c r="F842" s="241"/>
      <c r="G842" s="241"/>
    </row>
    <row r="843" spans="2:7" ht="13.5" customHeight="1">
      <c r="B843" s="50" t="s">
        <v>68</v>
      </c>
      <c r="C843" s="54" t="s">
        <v>58</v>
      </c>
      <c r="D843" s="54" t="s">
        <v>59</v>
      </c>
      <c r="E843" s="54" t="s">
        <v>60</v>
      </c>
      <c r="F843" s="54" t="s">
        <v>61</v>
      </c>
      <c r="G843" s="54" t="s">
        <v>62</v>
      </c>
    </row>
    <row r="844" spans="2:7" ht="13.5" customHeight="1">
      <c r="B844" s="51" t="s">
        <v>63</v>
      </c>
      <c r="C844" s="55">
        <f>VLOOKUP(Exam_24,AverageScores,b6_perception,FALSE)</f>
        <v>0</v>
      </c>
      <c r="D844" s="55">
        <f>VLOOKUP(Exam_24,AverageScores,b6_perception,FALSE)</f>
        <v>0</v>
      </c>
      <c r="E844" s="55">
        <f>VLOOKUP(Exam_24,AverageScores,b6_perception,FALSE)</f>
        <v>0</v>
      </c>
      <c r="F844" s="55">
        <f>VLOOKUP(Exam_24,AverageScores,b6_perception,FALSE)</f>
        <v>0</v>
      </c>
      <c r="G844" s="55">
        <f>VLOOKUP(Exam_24,AverageScores,b6_perception,FALSE)</f>
        <v>0</v>
      </c>
    </row>
    <row r="845" spans="2:7" ht="13.5" customHeight="1">
      <c r="B845" s="51" t="s">
        <v>69</v>
      </c>
      <c r="C845" s="55">
        <f>VLOOKUP(Exam_24,AverageScores,b6_descriptive,FALSE)</f>
        <v>0</v>
      </c>
      <c r="D845" s="55">
        <f>VLOOKUP(Exam_24,AverageScores,b6_descriptive,FALSE)</f>
        <v>0</v>
      </c>
      <c r="E845" s="55">
        <f>VLOOKUP(Exam_24,AverageScores,b6_descriptive,FALSE)</f>
        <v>0</v>
      </c>
      <c r="F845" s="55">
        <f>VLOOKUP(Exam_24,AverageScores,b6_descriptive,FALSE)</f>
        <v>0</v>
      </c>
      <c r="G845" s="55">
        <f>VLOOKUP(Exam_24,AverageScores,b6_descriptive,FALSE)</f>
        <v>0</v>
      </c>
    </row>
    <row r="846" spans="2:7" ht="13.5" customHeight="1">
      <c r="B846" s="51" t="s">
        <v>64</v>
      </c>
      <c r="C846" s="55">
        <f>VLOOKUP(Exam_24,AverageScores,b6_feedback,FALSE)</f>
        <v>0</v>
      </c>
      <c r="D846" s="55">
        <f>VLOOKUP(Exam_24,AverageScores,b6_feedback,FALSE)</f>
        <v>0</v>
      </c>
      <c r="E846" s="55">
        <f>VLOOKUP(Exam_24,AverageScores,b6_feedback,FALSE)</f>
        <v>0</v>
      </c>
      <c r="F846" s="55">
        <f>VLOOKUP(Exam_24,AverageScores,b6_feedback,FALSE)</f>
        <v>0</v>
      </c>
      <c r="G846" s="55">
        <f>VLOOKUP(Exam_24,AverageScores,b6_feedback,FALSE)</f>
        <v>0</v>
      </c>
    </row>
    <row r="847" spans="2:7" ht="13.5" customHeight="1">
      <c r="B847" s="51" t="s">
        <v>65</v>
      </c>
      <c r="C847" s="55">
        <f>VLOOKUP(Exam_24,AverageScores,b6_completeness,FALSE)</f>
        <v>0</v>
      </c>
      <c r="D847" s="55">
        <f>VLOOKUP(Exam_24,AverageScores,b6_completeness,FALSE)</f>
        <v>0</v>
      </c>
      <c r="E847" s="55">
        <f>VLOOKUP(Exam_24,AverageScores,b6_completeness,FALSE)</f>
        <v>0</v>
      </c>
      <c r="F847" s="55">
        <f>VLOOKUP(Exam_24,AverageScores,b6_completeness,FALSE)</f>
        <v>0</v>
      </c>
      <c r="G847" s="55">
        <f>VLOOKUP(Exam_24,AverageScores,b6_completeness,FALSE)</f>
        <v>0</v>
      </c>
    </row>
    <row r="848" spans="2:7" ht="13.5" customHeight="1">
      <c r="B848" s="51" t="s">
        <v>66</v>
      </c>
      <c r="C848" s="55">
        <f>VLOOKUP(Exam_24,ScoringAccuracyTable,b6_accuracy,FALSE)</f>
      </c>
      <c r="D848" s="55">
        <f>VLOOKUP(Exam_24,ScoringAccuracyTable,b6_accuracy,FALSE)</f>
      </c>
      <c r="E848" s="55">
        <f>VLOOKUP(Exam_24,ScoringAccuracyTable,b6_accuracy,FALSE)</f>
      </c>
      <c r="F848" s="55">
        <f>VLOOKUP(Exam_24,ScoringAccuracyTable,b6_accuracy,FALSE)</f>
      </c>
      <c r="G848" s="55">
        <f>VLOOKUP(Exam_24,ScoringAccuracyTable,b6_accuracy,FALSE)</f>
      </c>
    </row>
  </sheetData>
  <sheetProtection/>
  <mergeCells count="264">
    <mergeCell ref="B788:G788"/>
    <mergeCell ref="B762:G762"/>
    <mergeCell ref="C792:G792"/>
    <mergeCell ref="C739:G739"/>
    <mergeCell ref="B740:G740"/>
    <mergeCell ref="B769:G769"/>
    <mergeCell ref="C770:G770"/>
    <mergeCell ref="B791:G791"/>
    <mergeCell ref="C841:G841"/>
    <mergeCell ref="B842:G842"/>
    <mergeCell ref="B747:G747"/>
    <mergeCell ref="C748:G748"/>
    <mergeCell ref="B749:G749"/>
    <mergeCell ref="B756:G756"/>
    <mergeCell ref="C761:G761"/>
    <mergeCell ref="B771:G771"/>
    <mergeCell ref="B818:G818"/>
    <mergeCell ref="C801:G801"/>
    <mergeCell ref="B719:G719"/>
    <mergeCell ref="B710:G710"/>
    <mergeCell ref="B722:G722"/>
    <mergeCell ref="B729:G729"/>
    <mergeCell ref="C730:G730"/>
    <mergeCell ref="B790:G790"/>
    <mergeCell ref="B731:G731"/>
    <mergeCell ref="B720:G720"/>
    <mergeCell ref="C721:G721"/>
    <mergeCell ref="B738:G738"/>
    <mergeCell ref="B685:G685"/>
    <mergeCell ref="C690:G690"/>
    <mergeCell ref="B678:G678"/>
    <mergeCell ref="B717:G717"/>
    <mergeCell ref="B700:G700"/>
    <mergeCell ref="B709:G709"/>
    <mergeCell ref="B691:G691"/>
    <mergeCell ref="B698:G698"/>
    <mergeCell ref="C699:G699"/>
    <mergeCell ref="B660:G660"/>
    <mergeCell ref="C650:G650"/>
    <mergeCell ref="B651:G651"/>
    <mergeCell ref="B658:G658"/>
    <mergeCell ref="C659:G659"/>
    <mergeCell ref="B676:G676"/>
    <mergeCell ref="B667:G667"/>
    <mergeCell ref="C668:G668"/>
    <mergeCell ref="B669:G669"/>
    <mergeCell ref="B629:G629"/>
    <mergeCell ref="B639:G639"/>
    <mergeCell ref="B646:G646"/>
    <mergeCell ref="B638:G638"/>
    <mergeCell ref="B648:G648"/>
    <mergeCell ref="B649:G649"/>
    <mergeCell ref="C606:G606"/>
    <mergeCell ref="B607:G607"/>
    <mergeCell ref="B614:G614"/>
    <mergeCell ref="C619:G619"/>
    <mergeCell ref="B627:G627"/>
    <mergeCell ref="C628:G628"/>
    <mergeCell ref="B497:G497"/>
    <mergeCell ref="B527:G527"/>
    <mergeCell ref="B487:G487"/>
    <mergeCell ref="B504:G504"/>
    <mergeCell ref="B506:G506"/>
    <mergeCell ref="B507:G507"/>
    <mergeCell ref="B518:G518"/>
    <mergeCell ref="B525:G525"/>
    <mergeCell ref="C508:G508"/>
    <mergeCell ref="B509:G509"/>
    <mergeCell ref="B485:G485"/>
    <mergeCell ref="B472:G472"/>
    <mergeCell ref="C477:G477"/>
    <mergeCell ref="B478:G478"/>
    <mergeCell ref="C486:G486"/>
    <mergeCell ref="B496:G496"/>
    <mergeCell ref="B465:G465"/>
    <mergeCell ref="C464:G464"/>
    <mergeCell ref="B438:G438"/>
    <mergeCell ref="C446:G446"/>
    <mergeCell ref="B447:G447"/>
    <mergeCell ref="C455:G455"/>
    <mergeCell ref="B456:G456"/>
    <mergeCell ref="B463:G463"/>
    <mergeCell ref="B445:G445"/>
    <mergeCell ref="B454:G454"/>
    <mergeCell ref="B425:G425"/>
    <mergeCell ref="B426:G426"/>
    <mergeCell ref="B433:G433"/>
    <mergeCell ref="B435:G435"/>
    <mergeCell ref="B436:G436"/>
    <mergeCell ref="C437:G437"/>
    <mergeCell ref="B376:G376"/>
    <mergeCell ref="B385:G385"/>
    <mergeCell ref="B374:G374"/>
    <mergeCell ref="C375:G375"/>
    <mergeCell ref="B383:G383"/>
    <mergeCell ref="C384:G384"/>
    <mergeCell ref="B355:G355"/>
    <mergeCell ref="B362:G362"/>
    <mergeCell ref="B364:G364"/>
    <mergeCell ref="B365:G365"/>
    <mergeCell ref="C366:G366"/>
    <mergeCell ref="B367:G367"/>
    <mergeCell ref="C335:G335"/>
    <mergeCell ref="B354:G354"/>
    <mergeCell ref="B336:G336"/>
    <mergeCell ref="B343:G343"/>
    <mergeCell ref="C344:G344"/>
    <mergeCell ref="B345:G345"/>
    <mergeCell ref="C193:G193"/>
    <mergeCell ref="B201:G201"/>
    <mergeCell ref="C202:G202"/>
    <mergeCell ref="B225:G225"/>
    <mergeCell ref="B250:G250"/>
    <mergeCell ref="B259:G259"/>
    <mergeCell ref="B241:G241"/>
    <mergeCell ref="C242:G242"/>
    <mergeCell ref="B243:G243"/>
    <mergeCell ref="C251:G251"/>
    <mergeCell ref="C154:G154"/>
    <mergeCell ref="B155:G155"/>
    <mergeCell ref="B162:G162"/>
    <mergeCell ref="C163:G163"/>
    <mergeCell ref="B164:G164"/>
    <mergeCell ref="B234:G234"/>
    <mergeCell ref="B232:G232"/>
    <mergeCell ref="C233:G233"/>
    <mergeCell ref="B203:G203"/>
    <mergeCell ref="B189:G189"/>
    <mergeCell ref="B131:G131"/>
    <mergeCell ref="C132:G132"/>
    <mergeCell ref="B133:G133"/>
    <mergeCell ref="B142:G142"/>
    <mergeCell ref="B152:G152"/>
    <mergeCell ref="B153:G153"/>
    <mergeCell ref="B143:G143"/>
    <mergeCell ref="B150:G150"/>
    <mergeCell ref="B124:G124"/>
    <mergeCell ref="B112:G112"/>
    <mergeCell ref="B119:G119"/>
    <mergeCell ref="B110:G110"/>
    <mergeCell ref="C102:G102"/>
    <mergeCell ref="B103:G103"/>
    <mergeCell ref="C111:G111"/>
    <mergeCell ref="B85:G85"/>
    <mergeCell ref="C84:G84"/>
    <mergeCell ref="B92:G92"/>
    <mergeCell ref="C93:G93"/>
    <mergeCell ref="B94:G94"/>
    <mergeCell ref="C123:G123"/>
    <mergeCell ref="B63:G63"/>
    <mergeCell ref="B82:G82"/>
    <mergeCell ref="B72:G72"/>
    <mergeCell ref="B73:G73"/>
    <mergeCell ref="B80:G80"/>
    <mergeCell ref="B83:G83"/>
    <mergeCell ref="C40:G40"/>
    <mergeCell ref="B48:G48"/>
    <mergeCell ref="C53:G53"/>
    <mergeCell ref="B54:G54"/>
    <mergeCell ref="B61:G61"/>
    <mergeCell ref="C62:G62"/>
    <mergeCell ref="B1:G1"/>
    <mergeCell ref="B2:G2"/>
    <mergeCell ref="B10:G10"/>
    <mergeCell ref="B11:G11"/>
    <mergeCell ref="B21:G21"/>
    <mergeCell ref="C22:G22"/>
    <mergeCell ref="B12:G12"/>
    <mergeCell ref="C13:G13"/>
    <mergeCell ref="B14:G14"/>
    <mergeCell ref="B101:G101"/>
    <mergeCell ref="B23:G23"/>
    <mergeCell ref="B30:G30"/>
    <mergeCell ref="C31:G31"/>
    <mergeCell ref="B32:G32"/>
    <mergeCell ref="B39:G39"/>
    <mergeCell ref="B41:G41"/>
    <mergeCell ref="B220:G220"/>
    <mergeCell ref="B171:G171"/>
    <mergeCell ref="C172:G172"/>
    <mergeCell ref="B173:G173"/>
    <mergeCell ref="B180:G180"/>
    <mergeCell ref="C181:G181"/>
    <mergeCell ref="B212:G212"/>
    <mergeCell ref="B182:G182"/>
    <mergeCell ref="B194:G194"/>
    <mergeCell ref="B213:G213"/>
    <mergeCell ref="B222:G222"/>
    <mergeCell ref="B223:G223"/>
    <mergeCell ref="C224:G224"/>
    <mergeCell ref="B293:G293"/>
    <mergeCell ref="B274:G274"/>
    <mergeCell ref="B265:G265"/>
    <mergeCell ref="B252:G252"/>
    <mergeCell ref="C264:G264"/>
    <mergeCell ref="B272:G272"/>
    <mergeCell ref="C273:G273"/>
    <mergeCell ref="B283:G283"/>
    <mergeCell ref="B284:G284"/>
    <mergeCell ref="B305:G305"/>
    <mergeCell ref="B294:G294"/>
    <mergeCell ref="C295:G295"/>
    <mergeCell ref="B291:G291"/>
    <mergeCell ref="B296:G296"/>
    <mergeCell ref="B303:G303"/>
    <mergeCell ref="C304:G304"/>
    <mergeCell ref="B312:G312"/>
    <mergeCell ref="C313:G313"/>
    <mergeCell ref="C415:G415"/>
    <mergeCell ref="B392:G392"/>
    <mergeCell ref="C393:G393"/>
    <mergeCell ref="C322:G322"/>
    <mergeCell ref="B321:G321"/>
    <mergeCell ref="B314:G314"/>
    <mergeCell ref="B323:G323"/>
    <mergeCell ref="B330:G330"/>
    <mergeCell ref="B416:G416"/>
    <mergeCell ref="B394:G394"/>
    <mergeCell ref="B401:G401"/>
    <mergeCell ref="B414:G414"/>
    <mergeCell ref="C406:G406"/>
    <mergeCell ref="B407:G407"/>
    <mergeCell ref="B575:G575"/>
    <mergeCell ref="B577:G577"/>
    <mergeCell ref="C526:G526"/>
    <mergeCell ref="B543:G543"/>
    <mergeCell ref="B536:G536"/>
    <mergeCell ref="C548:G548"/>
    <mergeCell ref="B549:G549"/>
    <mergeCell ref="B556:G556"/>
    <mergeCell ref="B534:G534"/>
    <mergeCell ref="C535:G535"/>
    <mergeCell ref="C557:G557"/>
    <mergeCell ref="B558:G558"/>
    <mergeCell ref="B516:G516"/>
    <mergeCell ref="C517:G517"/>
    <mergeCell ref="B568:G568"/>
    <mergeCell ref="B567:G567"/>
    <mergeCell ref="B578:G578"/>
    <mergeCell ref="C579:G579"/>
    <mergeCell ref="B587:G587"/>
    <mergeCell ref="C588:G588"/>
    <mergeCell ref="B580:G580"/>
    <mergeCell ref="C677:G677"/>
    <mergeCell ref="B589:G589"/>
    <mergeCell ref="B596:G596"/>
    <mergeCell ref="C597:G597"/>
    <mergeCell ref="B598:G598"/>
    <mergeCell ref="B605:G605"/>
    <mergeCell ref="B620:G620"/>
    <mergeCell ref="B780:G780"/>
    <mergeCell ref="B781:G781"/>
    <mergeCell ref="B811:G811"/>
    <mergeCell ref="B802:G802"/>
    <mergeCell ref="B809:G809"/>
    <mergeCell ref="C810:G810"/>
    <mergeCell ref="B800:G800"/>
    <mergeCell ref="B793:G793"/>
    <mergeCell ref="B820:G820"/>
    <mergeCell ref="C832:G832"/>
    <mergeCell ref="B833:G833"/>
    <mergeCell ref="B840:G840"/>
    <mergeCell ref="B827:G827"/>
    <mergeCell ref="C819:G819"/>
  </mergeCells>
  <conditionalFormatting sqref="D20:D21 D23:D24">
    <cfRule type="cellIs" priority="794" dxfId="727" operator="between">
      <formula>15.4</formula>
      <formula>17.9</formula>
    </cfRule>
  </conditionalFormatting>
  <conditionalFormatting sqref="E20:E21 E23:E24">
    <cfRule type="cellIs" priority="793" dxfId="727" operator="between">
      <formula>13.4</formula>
      <formula>15.9</formula>
    </cfRule>
  </conditionalFormatting>
  <conditionalFormatting sqref="F20:F21 F23:F24">
    <cfRule type="cellIs" priority="792" dxfId="727" operator="between">
      <formula>11.4</formula>
      <formula>13.9</formula>
    </cfRule>
  </conditionalFormatting>
  <conditionalFormatting sqref="G20:G21 G23:G24">
    <cfRule type="cellIs" priority="791" dxfId="727" operator="lessThan">
      <formula>12</formula>
    </cfRule>
  </conditionalFormatting>
  <conditionalFormatting sqref="C34:C36">
    <cfRule type="cellIs" priority="790" dxfId="727" operator="greaterThanOrEqual">
      <formula>17.4</formula>
    </cfRule>
  </conditionalFormatting>
  <conditionalFormatting sqref="D33:D36">
    <cfRule type="cellIs" priority="789" dxfId="727" operator="between">
      <formula>15.4</formula>
      <formula>17.9</formula>
    </cfRule>
  </conditionalFormatting>
  <conditionalFormatting sqref="E33:E36">
    <cfRule type="cellIs" priority="788" dxfId="727" operator="between">
      <formula>13.4</formula>
      <formula>15.9</formula>
    </cfRule>
  </conditionalFormatting>
  <conditionalFormatting sqref="F33:F36">
    <cfRule type="cellIs" priority="787" dxfId="727" operator="between">
      <formula>11.4</formula>
      <formula>13.9</formula>
    </cfRule>
  </conditionalFormatting>
  <conditionalFormatting sqref="G33:G36">
    <cfRule type="cellIs" priority="786" dxfId="727" operator="lessThan">
      <formula>12</formula>
    </cfRule>
  </conditionalFormatting>
  <conditionalFormatting sqref="C63 C65:C67">
    <cfRule type="cellIs" priority="785" dxfId="727" operator="greaterThanOrEqual">
      <formula>17.4</formula>
    </cfRule>
  </conditionalFormatting>
  <conditionalFormatting sqref="D63:D67">
    <cfRule type="cellIs" priority="784" dxfId="727" operator="between">
      <formula>15.4</formula>
      <formula>17.9</formula>
    </cfRule>
  </conditionalFormatting>
  <conditionalFormatting sqref="E63:E67">
    <cfRule type="cellIs" priority="783" dxfId="727" operator="between">
      <formula>13.4</formula>
      <formula>15.9</formula>
    </cfRule>
  </conditionalFormatting>
  <conditionalFormatting sqref="F63:F67">
    <cfRule type="cellIs" priority="782" dxfId="727" operator="between">
      <formula>11.4</formula>
      <formula>13.9</formula>
    </cfRule>
  </conditionalFormatting>
  <conditionalFormatting sqref="G63:G67">
    <cfRule type="cellIs" priority="781" dxfId="727" operator="lessThan">
      <formula>12</formula>
    </cfRule>
  </conditionalFormatting>
  <conditionalFormatting sqref="C76:C81">
    <cfRule type="cellIs" priority="780" dxfId="727" operator="greaterThanOrEqual">
      <formula>17.4</formula>
    </cfRule>
  </conditionalFormatting>
  <conditionalFormatting sqref="D76:D81">
    <cfRule type="cellIs" priority="779" dxfId="727" operator="between">
      <formula>15.4</formula>
      <formula>17.9</formula>
    </cfRule>
  </conditionalFormatting>
  <conditionalFormatting sqref="E76:E81">
    <cfRule type="cellIs" priority="778" dxfId="727" operator="between">
      <formula>13.4</formula>
      <formula>15.9</formula>
    </cfRule>
  </conditionalFormatting>
  <conditionalFormatting sqref="F76:F81">
    <cfRule type="cellIs" priority="777" dxfId="727" operator="between">
      <formula>11.4</formula>
      <formula>13.9</formula>
    </cfRule>
  </conditionalFormatting>
  <conditionalFormatting sqref="G76:G80">
    <cfRule type="cellIs" priority="776" dxfId="727" operator="lessThan">
      <formula>12</formula>
    </cfRule>
  </conditionalFormatting>
  <conditionalFormatting sqref="C90:C92 C94">
    <cfRule type="cellIs" priority="775" dxfId="727" operator="greaterThanOrEqual">
      <formula>17.4</formula>
    </cfRule>
  </conditionalFormatting>
  <conditionalFormatting sqref="D90:D92 D94">
    <cfRule type="cellIs" priority="774" dxfId="727" operator="between">
      <formula>15.4</formula>
      <formula>17.9</formula>
    </cfRule>
  </conditionalFormatting>
  <conditionalFormatting sqref="E90:E92 E94">
    <cfRule type="cellIs" priority="773" dxfId="727" operator="between">
      <formula>13.4</formula>
      <formula>15.9</formula>
    </cfRule>
  </conditionalFormatting>
  <conditionalFormatting sqref="F90:F92 F94">
    <cfRule type="cellIs" priority="772" dxfId="727" operator="between">
      <formula>11.4</formula>
      <formula>13.9</formula>
    </cfRule>
  </conditionalFormatting>
  <conditionalFormatting sqref="G90:G92 G94">
    <cfRule type="cellIs" priority="771" dxfId="727" operator="lessThan">
      <formula>12</formula>
    </cfRule>
  </conditionalFormatting>
  <conditionalFormatting sqref="D4:D9">
    <cfRule type="cellIs" priority="769" dxfId="727" operator="between">
      <formula>15.4</formula>
      <formula>17.9</formula>
    </cfRule>
  </conditionalFormatting>
  <conditionalFormatting sqref="E4:E9">
    <cfRule type="cellIs" priority="768" dxfId="727" operator="between">
      <formula>13.4</formula>
      <formula>15.9</formula>
    </cfRule>
  </conditionalFormatting>
  <conditionalFormatting sqref="F4:F9">
    <cfRule type="cellIs" priority="767" dxfId="727" operator="between">
      <formula>11.4</formula>
      <formula>13.9</formula>
    </cfRule>
  </conditionalFormatting>
  <conditionalFormatting sqref="G4:G8">
    <cfRule type="cellIs" priority="766" dxfId="727" operator="lessThan">
      <formula>12</formula>
    </cfRule>
  </conditionalFormatting>
  <conditionalFormatting sqref="C4">
    <cfRule type="cellIs" priority="765" dxfId="728" operator="greaterThanOrEqual" stopIfTrue="1">
      <formula>17.4</formula>
    </cfRule>
  </conditionalFormatting>
  <conditionalFormatting sqref="C6">
    <cfRule type="cellIs" priority="764" dxfId="728" operator="greaterThanOrEqual" stopIfTrue="1">
      <formula>17.4</formula>
    </cfRule>
  </conditionalFormatting>
  <conditionalFormatting sqref="C7:C9">
    <cfRule type="cellIs" priority="763" dxfId="728" operator="greaterThanOrEqual" stopIfTrue="1">
      <formula>17.4</formula>
    </cfRule>
  </conditionalFormatting>
  <conditionalFormatting sqref="C21 C23">
    <cfRule type="cellIs" priority="762" dxfId="728" operator="greaterThanOrEqual" stopIfTrue="1">
      <formula>17.4</formula>
    </cfRule>
  </conditionalFormatting>
  <conditionalFormatting sqref="D37">
    <cfRule type="cellIs" priority="761" dxfId="727" operator="between">
      <formula>15.4</formula>
      <formula>17.9</formula>
    </cfRule>
  </conditionalFormatting>
  <conditionalFormatting sqref="E37">
    <cfRule type="cellIs" priority="760" dxfId="727" operator="between">
      <formula>13.4</formula>
      <formula>15.9</formula>
    </cfRule>
  </conditionalFormatting>
  <conditionalFormatting sqref="F37">
    <cfRule type="cellIs" priority="759" dxfId="727" operator="between">
      <formula>11.4</formula>
      <formula>13.9</formula>
    </cfRule>
  </conditionalFormatting>
  <conditionalFormatting sqref="G37">
    <cfRule type="cellIs" priority="758" dxfId="727" operator="lessThan">
      <formula>12</formula>
    </cfRule>
  </conditionalFormatting>
  <conditionalFormatting sqref="C37">
    <cfRule type="cellIs" priority="757" dxfId="728" operator="greaterThanOrEqual" stopIfTrue="1">
      <formula>17.4</formula>
    </cfRule>
  </conditionalFormatting>
  <conditionalFormatting sqref="C20">
    <cfRule type="cellIs" priority="756" dxfId="727" operator="greaterThanOrEqual">
      <formula>17.4</formula>
    </cfRule>
  </conditionalFormatting>
  <conditionalFormatting sqref="C5">
    <cfRule type="cellIs" priority="755" dxfId="728" operator="greaterThanOrEqual" stopIfTrue="1">
      <formula>17.4</formula>
    </cfRule>
  </conditionalFormatting>
  <conditionalFormatting sqref="C46">
    <cfRule type="cellIs" priority="754" dxfId="727" operator="greaterThanOrEqual">
      <formula>17.4</formula>
    </cfRule>
  </conditionalFormatting>
  <conditionalFormatting sqref="D46">
    <cfRule type="cellIs" priority="753" dxfId="727" operator="between">
      <formula>15.4</formula>
      <formula>17.9</formula>
    </cfRule>
  </conditionalFormatting>
  <conditionalFormatting sqref="E46">
    <cfRule type="cellIs" priority="752" dxfId="727" operator="between">
      <formula>13.4</formula>
      <formula>15.9</formula>
    </cfRule>
  </conditionalFormatting>
  <conditionalFormatting sqref="F46">
    <cfRule type="cellIs" priority="751" dxfId="727" operator="between">
      <formula>11.4</formula>
      <formula>13.9</formula>
    </cfRule>
  </conditionalFormatting>
  <conditionalFormatting sqref="G46">
    <cfRule type="cellIs" priority="750" dxfId="727" operator="lessThan">
      <formula>12</formula>
    </cfRule>
  </conditionalFormatting>
  <conditionalFormatting sqref="C47">
    <cfRule type="cellIs" priority="749" dxfId="727" operator="greaterThanOrEqual">
      <formula>17.4</formula>
    </cfRule>
  </conditionalFormatting>
  <conditionalFormatting sqref="D47">
    <cfRule type="cellIs" priority="748" dxfId="727" operator="between">
      <formula>15.4</formula>
      <formula>17.9</formula>
    </cfRule>
  </conditionalFormatting>
  <conditionalFormatting sqref="E47">
    <cfRule type="cellIs" priority="747" dxfId="727" operator="between">
      <formula>13.4</formula>
      <formula>15.9</formula>
    </cfRule>
  </conditionalFormatting>
  <conditionalFormatting sqref="F47">
    <cfRule type="cellIs" priority="746" dxfId="727" operator="between">
      <formula>11.4</formula>
      <formula>13.9</formula>
    </cfRule>
  </conditionalFormatting>
  <conditionalFormatting sqref="G47">
    <cfRule type="cellIs" priority="745" dxfId="727" operator="lessThan">
      <formula>12</formula>
    </cfRule>
  </conditionalFormatting>
  <conditionalFormatting sqref="C48:C52">
    <cfRule type="cellIs" priority="744" dxfId="727" operator="greaterThanOrEqual">
      <formula>17.4</formula>
    </cfRule>
  </conditionalFormatting>
  <conditionalFormatting sqref="D48:D52">
    <cfRule type="cellIs" priority="743" dxfId="727" operator="between">
      <formula>15.4</formula>
      <formula>17.9</formula>
    </cfRule>
  </conditionalFormatting>
  <conditionalFormatting sqref="E48:E52">
    <cfRule type="cellIs" priority="742" dxfId="727" operator="between">
      <formula>13.4</formula>
      <formula>15.9</formula>
    </cfRule>
  </conditionalFormatting>
  <conditionalFormatting sqref="F48:F52">
    <cfRule type="cellIs" priority="741" dxfId="727" operator="between">
      <formula>11.4</formula>
      <formula>13.9</formula>
    </cfRule>
  </conditionalFormatting>
  <conditionalFormatting sqref="G48">
    <cfRule type="cellIs" priority="740" dxfId="727" operator="lessThan">
      <formula>12</formula>
    </cfRule>
  </conditionalFormatting>
  <conditionalFormatting sqref="C54">
    <cfRule type="cellIs" priority="734" dxfId="727" operator="greaterThanOrEqual">
      <formula>17.4</formula>
    </cfRule>
  </conditionalFormatting>
  <conditionalFormatting sqref="D54">
    <cfRule type="cellIs" priority="733" dxfId="727" operator="between">
      <formula>15.4</formula>
      <formula>17.9</formula>
    </cfRule>
  </conditionalFormatting>
  <conditionalFormatting sqref="E54">
    <cfRule type="cellIs" priority="732" dxfId="727" operator="between">
      <formula>13.4</formula>
      <formula>15.9</formula>
    </cfRule>
  </conditionalFormatting>
  <conditionalFormatting sqref="F54">
    <cfRule type="cellIs" priority="731" dxfId="727" operator="between">
      <formula>11.4</formula>
      <formula>13.9</formula>
    </cfRule>
  </conditionalFormatting>
  <conditionalFormatting sqref="G54">
    <cfRule type="cellIs" priority="730" dxfId="727" operator="lessThan">
      <formula>12</formula>
    </cfRule>
  </conditionalFormatting>
  <conditionalFormatting sqref="D115:D122">
    <cfRule type="cellIs" priority="729" dxfId="727" operator="between">
      <formula>15.4</formula>
      <formula>17.9</formula>
    </cfRule>
  </conditionalFormatting>
  <conditionalFormatting sqref="E115:E122">
    <cfRule type="cellIs" priority="728" dxfId="727" operator="between">
      <formula>13.4</formula>
      <formula>15.9</formula>
    </cfRule>
  </conditionalFormatting>
  <conditionalFormatting sqref="F115:F122">
    <cfRule type="cellIs" priority="727" dxfId="727" operator="between">
      <formula>11.4</formula>
      <formula>13.9</formula>
    </cfRule>
  </conditionalFormatting>
  <conditionalFormatting sqref="G115:G119">
    <cfRule type="cellIs" priority="726" dxfId="727" operator="lessThan">
      <formula>12</formula>
    </cfRule>
  </conditionalFormatting>
  <conditionalFormatting sqref="C131 C133">
    <cfRule type="cellIs" priority="725" dxfId="727" operator="greaterThanOrEqual">
      <formula>17.4</formula>
    </cfRule>
  </conditionalFormatting>
  <conditionalFormatting sqref="D131 D133:D134">
    <cfRule type="cellIs" priority="724" dxfId="727" operator="between">
      <formula>15.4</formula>
      <formula>17.9</formula>
    </cfRule>
  </conditionalFormatting>
  <conditionalFormatting sqref="E131 E133:E134">
    <cfRule type="cellIs" priority="723" dxfId="727" operator="between">
      <formula>13.4</formula>
      <formula>15.9</formula>
    </cfRule>
  </conditionalFormatting>
  <conditionalFormatting sqref="F131 F133:F134">
    <cfRule type="cellIs" priority="722" dxfId="727" operator="between">
      <formula>11.4</formula>
      <formula>13.9</formula>
    </cfRule>
  </conditionalFormatting>
  <conditionalFormatting sqref="G131 G133:G134">
    <cfRule type="cellIs" priority="721" dxfId="727" operator="lessThan">
      <formula>12</formula>
    </cfRule>
  </conditionalFormatting>
  <conditionalFormatting sqref="C158:C162">
    <cfRule type="cellIs" priority="720" dxfId="727" operator="greaterThanOrEqual">
      <formula>17.4</formula>
    </cfRule>
  </conditionalFormatting>
  <conditionalFormatting sqref="D158:D162">
    <cfRule type="cellIs" priority="719" dxfId="727" operator="between">
      <formula>15.4</formula>
      <formula>17.9</formula>
    </cfRule>
  </conditionalFormatting>
  <conditionalFormatting sqref="E158:E162">
    <cfRule type="cellIs" priority="718" dxfId="727" operator="between">
      <formula>13.4</formula>
      <formula>15.9</formula>
    </cfRule>
  </conditionalFormatting>
  <conditionalFormatting sqref="F158:F162">
    <cfRule type="cellIs" priority="717" dxfId="727" operator="between">
      <formula>11.4</formula>
      <formula>13.9</formula>
    </cfRule>
  </conditionalFormatting>
  <conditionalFormatting sqref="G158:G162">
    <cfRule type="cellIs" priority="716" dxfId="727" operator="lessThan">
      <formula>12</formula>
    </cfRule>
  </conditionalFormatting>
  <conditionalFormatting sqref="C171 C173 C175">
    <cfRule type="cellIs" priority="715" dxfId="727" operator="greaterThanOrEqual">
      <formula>17.4</formula>
    </cfRule>
  </conditionalFormatting>
  <conditionalFormatting sqref="D171 D173:D175">
    <cfRule type="cellIs" priority="714" dxfId="727" operator="between">
      <formula>15.4</formula>
      <formula>17.9</formula>
    </cfRule>
  </conditionalFormatting>
  <conditionalFormatting sqref="E171 E173:E175">
    <cfRule type="cellIs" priority="713" dxfId="727" operator="between">
      <formula>13.4</formula>
      <formula>15.9</formula>
    </cfRule>
  </conditionalFormatting>
  <conditionalFormatting sqref="F171 F173:F175">
    <cfRule type="cellIs" priority="712" dxfId="727" operator="between">
      <formula>11.4</formula>
      <formula>13.9</formula>
    </cfRule>
  </conditionalFormatting>
  <conditionalFormatting sqref="G171 G173:G175">
    <cfRule type="cellIs" priority="711" dxfId="727" operator="lessThan">
      <formula>12</formula>
    </cfRule>
  </conditionalFormatting>
  <conditionalFormatting sqref="C184:C188">
    <cfRule type="cellIs" priority="710" dxfId="727" operator="greaterThanOrEqual">
      <formula>17.4</formula>
    </cfRule>
  </conditionalFormatting>
  <conditionalFormatting sqref="D184:D188">
    <cfRule type="cellIs" priority="709" dxfId="727" operator="between">
      <formula>15.4</formula>
      <formula>17.9</formula>
    </cfRule>
  </conditionalFormatting>
  <conditionalFormatting sqref="E184:E188">
    <cfRule type="cellIs" priority="708" dxfId="727" operator="between">
      <formula>13.4</formula>
      <formula>15.9</formula>
    </cfRule>
  </conditionalFormatting>
  <conditionalFormatting sqref="F184:F188">
    <cfRule type="cellIs" priority="707" dxfId="727" operator="between">
      <formula>11.4</formula>
      <formula>13.9</formula>
    </cfRule>
  </conditionalFormatting>
  <conditionalFormatting sqref="G184:G188">
    <cfRule type="cellIs" priority="706" dxfId="727" operator="lessThan">
      <formula>12</formula>
    </cfRule>
  </conditionalFormatting>
  <conditionalFormatting sqref="C119:C122">
    <cfRule type="cellIs" priority="705" dxfId="728" operator="greaterThanOrEqual" stopIfTrue="1">
      <formula>17.4</formula>
    </cfRule>
  </conditionalFormatting>
  <conditionalFormatting sqref="D100:D101 D103:D104">
    <cfRule type="cellIs" priority="704" dxfId="727" operator="between">
      <formula>15.4</formula>
      <formula>17.9</formula>
    </cfRule>
  </conditionalFormatting>
  <conditionalFormatting sqref="E100:E101 E103:E104">
    <cfRule type="cellIs" priority="703" dxfId="727" operator="between">
      <formula>13.4</formula>
      <formula>15.9</formula>
    </cfRule>
  </conditionalFormatting>
  <conditionalFormatting sqref="F100:F101 F103:F104">
    <cfRule type="cellIs" priority="702" dxfId="727" operator="between">
      <formula>11.4</formula>
      <formula>13.9</formula>
    </cfRule>
  </conditionalFormatting>
  <conditionalFormatting sqref="G100:G101 G103:G104">
    <cfRule type="cellIs" priority="701" dxfId="727" operator="lessThan">
      <formula>12</formula>
    </cfRule>
  </conditionalFormatting>
  <conditionalFormatting sqref="C100">
    <cfRule type="cellIs" priority="700" dxfId="728" operator="greaterThanOrEqual" stopIfTrue="1">
      <formula>17.4</formula>
    </cfRule>
  </conditionalFormatting>
  <conditionalFormatting sqref="C103">
    <cfRule type="cellIs" priority="698" dxfId="728" operator="greaterThanOrEqual" stopIfTrue="1">
      <formula>17.4</formula>
    </cfRule>
  </conditionalFormatting>
  <conditionalFormatting sqref="C116:C118">
    <cfRule type="cellIs" priority="697" dxfId="728" operator="greaterThanOrEqual" stopIfTrue="1">
      <formula>17.4</formula>
    </cfRule>
  </conditionalFormatting>
  <conditionalFormatting sqref="D135">
    <cfRule type="cellIs" priority="696" dxfId="727" operator="between">
      <formula>15.4</formula>
      <formula>17.9</formula>
    </cfRule>
  </conditionalFormatting>
  <conditionalFormatting sqref="E135">
    <cfRule type="cellIs" priority="695" dxfId="727" operator="between">
      <formula>13.4</formula>
      <formula>15.9</formula>
    </cfRule>
  </conditionalFormatting>
  <conditionalFormatting sqref="F135">
    <cfRule type="cellIs" priority="694" dxfId="727" operator="between">
      <formula>11.4</formula>
      <formula>13.9</formula>
    </cfRule>
  </conditionalFormatting>
  <conditionalFormatting sqref="G135">
    <cfRule type="cellIs" priority="693" dxfId="727" operator="lessThan">
      <formula>12</formula>
    </cfRule>
  </conditionalFormatting>
  <conditionalFormatting sqref="C135">
    <cfRule type="cellIs" priority="692" dxfId="728" operator="greaterThanOrEqual" stopIfTrue="1">
      <formula>17.4</formula>
    </cfRule>
  </conditionalFormatting>
  <conditionalFormatting sqref="C115">
    <cfRule type="cellIs" priority="691" dxfId="727" operator="greaterThanOrEqual">
      <formula>17.4</formula>
    </cfRule>
  </conditionalFormatting>
  <conditionalFormatting sqref="C101">
    <cfRule type="cellIs" priority="690" dxfId="728" operator="greaterThanOrEqual" stopIfTrue="1">
      <formula>17.4</formula>
    </cfRule>
  </conditionalFormatting>
  <conditionalFormatting sqref="D144">
    <cfRule type="cellIs" priority="688" dxfId="727" operator="between">
      <formula>15.4</formula>
      <formula>17.9</formula>
    </cfRule>
  </conditionalFormatting>
  <conditionalFormatting sqref="E144">
    <cfRule type="cellIs" priority="687" dxfId="727" operator="between">
      <formula>13.4</formula>
      <formula>15.9</formula>
    </cfRule>
  </conditionalFormatting>
  <conditionalFormatting sqref="F144">
    <cfRule type="cellIs" priority="686" dxfId="727" operator="between">
      <formula>11.4</formula>
      <formula>13.9</formula>
    </cfRule>
  </conditionalFormatting>
  <conditionalFormatting sqref="G144">
    <cfRule type="cellIs" priority="685" dxfId="727" operator="lessThan">
      <formula>12</formula>
    </cfRule>
  </conditionalFormatting>
  <conditionalFormatting sqref="C145">
    <cfRule type="cellIs" priority="684" dxfId="727" operator="greaterThanOrEqual">
      <formula>17.4</formula>
    </cfRule>
  </conditionalFormatting>
  <conditionalFormatting sqref="D145">
    <cfRule type="cellIs" priority="683" dxfId="727" operator="between">
      <formula>15.4</formula>
      <formula>17.9</formula>
    </cfRule>
  </conditionalFormatting>
  <conditionalFormatting sqref="E145">
    <cfRule type="cellIs" priority="682" dxfId="727" operator="between">
      <formula>13.4</formula>
      <formula>15.9</formula>
    </cfRule>
  </conditionalFormatting>
  <conditionalFormatting sqref="F145">
    <cfRule type="cellIs" priority="681" dxfId="727" operator="between">
      <formula>11.4</formula>
      <formula>13.9</formula>
    </cfRule>
  </conditionalFormatting>
  <conditionalFormatting sqref="G145">
    <cfRule type="cellIs" priority="680" dxfId="727" operator="lessThan">
      <formula>12</formula>
    </cfRule>
  </conditionalFormatting>
  <conditionalFormatting sqref="C146">
    <cfRule type="cellIs" priority="679" dxfId="727" operator="greaterThanOrEqual">
      <formula>17.4</formula>
    </cfRule>
  </conditionalFormatting>
  <conditionalFormatting sqref="D146">
    <cfRule type="cellIs" priority="678" dxfId="727" operator="between">
      <formula>15.4</formula>
      <formula>17.9</formula>
    </cfRule>
  </conditionalFormatting>
  <conditionalFormatting sqref="E146">
    <cfRule type="cellIs" priority="677" dxfId="727" operator="between">
      <formula>13.4</formula>
      <formula>15.9</formula>
    </cfRule>
  </conditionalFormatting>
  <conditionalFormatting sqref="F146">
    <cfRule type="cellIs" priority="676" dxfId="727" operator="between">
      <formula>11.4</formula>
      <formula>13.9</formula>
    </cfRule>
  </conditionalFormatting>
  <conditionalFormatting sqref="G146">
    <cfRule type="cellIs" priority="675" dxfId="727" operator="lessThan">
      <formula>12</formula>
    </cfRule>
  </conditionalFormatting>
  <conditionalFormatting sqref="C147">
    <cfRule type="cellIs" priority="674" dxfId="727" operator="greaterThanOrEqual">
      <formula>17.4</formula>
    </cfRule>
  </conditionalFormatting>
  <conditionalFormatting sqref="D147">
    <cfRule type="cellIs" priority="673" dxfId="727" operator="between">
      <formula>15.4</formula>
      <formula>17.9</formula>
    </cfRule>
  </conditionalFormatting>
  <conditionalFormatting sqref="E147">
    <cfRule type="cellIs" priority="672" dxfId="727" operator="between">
      <formula>13.4</formula>
      <formula>15.9</formula>
    </cfRule>
  </conditionalFormatting>
  <conditionalFormatting sqref="F147">
    <cfRule type="cellIs" priority="671" dxfId="727" operator="between">
      <formula>11.4</formula>
      <formula>13.9</formula>
    </cfRule>
  </conditionalFormatting>
  <conditionalFormatting sqref="G147">
    <cfRule type="cellIs" priority="670" dxfId="727" operator="lessThan">
      <formula>12</formula>
    </cfRule>
  </conditionalFormatting>
  <conditionalFormatting sqref="C148">
    <cfRule type="cellIs" priority="669" dxfId="727" operator="greaterThanOrEqual">
      <formula>17.4</formula>
    </cfRule>
  </conditionalFormatting>
  <conditionalFormatting sqref="D148">
    <cfRule type="cellIs" priority="668" dxfId="727" operator="between">
      <formula>15.4</formula>
      <formula>17.9</formula>
    </cfRule>
  </conditionalFormatting>
  <conditionalFormatting sqref="E148">
    <cfRule type="cellIs" priority="667" dxfId="727" operator="between">
      <formula>13.4</formula>
      <formula>15.9</formula>
    </cfRule>
  </conditionalFormatting>
  <conditionalFormatting sqref="F148">
    <cfRule type="cellIs" priority="666" dxfId="727" operator="between">
      <formula>11.4</formula>
      <formula>13.9</formula>
    </cfRule>
  </conditionalFormatting>
  <conditionalFormatting sqref="G148">
    <cfRule type="cellIs" priority="665" dxfId="727" operator="lessThan">
      <formula>12</formula>
    </cfRule>
  </conditionalFormatting>
  <conditionalFormatting sqref="D212:D216">
    <cfRule type="cellIs" priority="664" dxfId="727" operator="between">
      <formula>15.4</formula>
      <formula>17.9</formula>
    </cfRule>
  </conditionalFormatting>
  <conditionalFormatting sqref="E212:E216">
    <cfRule type="cellIs" priority="663" dxfId="727" operator="between">
      <formula>13.4</formula>
      <formula>15.9</formula>
    </cfRule>
  </conditionalFormatting>
  <conditionalFormatting sqref="F212:F216">
    <cfRule type="cellIs" priority="662" dxfId="727" operator="between">
      <formula>11.4</formula>
      <formula>13.9</formula>
    </cfRule>
  </conditionalFormatting>
  <conditionalFormatting sqref="G212:G216">
    <cfRule type="cellIs" priority="661" dxfId="727" operator="lessThan">
      <formula>12</formula>
    </cfRule>
  </conditionalFormatting>
  <conditionalFormatting sqref="C227:C229">
    <cfRule type="cellIs" priority="660" dxfId="727" operator="greaterThanOrEqual">
      <formula>17.4</formula>
    </cfRule>
  </conditionalFormatting>
  <conditionalFormatting sqref="D226:D229">
    <cfRule type="cellIs" priority="659" dxfId="727" operator="between">
      <formula>15.4</formula>
      <formula>17.9</formula>
    </cfRule>
  </conditionalFormatting>
  <conditionalFormatting sqref="E226:E229">
    <cfRule type="cellIs" priority="658" dxfId="727" operator="between">
      <formula>13.4</formula>
      <formula>15.9</formula>
    </cfRule>
  </conditionalFormatting>
  <conditionalFormatting sqref="F226:F229">
    <cfRule type="cellIs" priority="657" dxfId="727" operator="between">
      <formula>11.4</formula>
      <formula>13.9</formula>
    </cfRule>
  </conditionalFormatting>
  <conditionalFormatting sqref="G226:G229">
    <cfRule type="cellIs" priority="656" dxfId="727" operator="lessThan">
      <formula>12</formula>
    </cfRule>
  </conditionalFormatting>
  <conditionalFormatting sqref="C252 C254:C256">
    <cfRule type="cellIs" priority="655" dxfId="727" operator="greaterThanOrEqual">
      <formula>17.4</formula>
    </cfRule>
  </conditionalFormatting>
  <conditionalFormatting sqref="D252:D256">
    <cfRule type="cellIs" priority="654" dxfId="727" operator="between">
      <formula>15.4</formula>
      <formula>17.9</formula>
    </cfRule>
  </conditionalFormatting>
  <conditionalFormatting sqref="E252:E256">
    <cfRule type="cellIs" priority="653" dxfId="727" operator="between">
      <formula>13.4</formula>
      <formula>15.9</formula>
    </cfRule>
  </conditionalFormatting>
  <conditionalFormatting sqref="F252:F256">
    <cfRule type="cellIs" priority="652" dxfId="727" operator="between">
      <formula>11.4</formula>
      <formula>13.9</formula>
    </cfRule>
  </conditionalFormatting>
  <conditionalFormatting sqref="G252:G256">
    <cfRule type="cellIs" priority="651" dxfId="727" operator="lessThan">
      <formula>12</formula>
    </cfRule>
  </conditionalFormatting>
  <conditionalFormatting sqref="C269:C272">
    <cfRule type="cellIs" priority="650" dxfId="727" operator="greaterThanOrEqual">
      <formula>17.4</formula>
    </cfRule>
  </conditionalFormatting>
  <conditionalFormatting sqref="D269:D272">
    <cfRule type="cellIs" priority="649" dxfId="727" operator="between">
      <formula>15.4</formula>
      <formula>17.9</formula>
    </cfRule>
  </conditionalFormatting>
  <conditionalFormatting sqref="E269:E272">
    <cfRule type="cellIs" priority="648" dxfId="727" operator="between">
      <formula>13.4</formula>
      <formula>15.9</formula>
    </cfRule>
  </conditionalFormatting>
  <conditionalFormatting sqref="F269:F272">
    <cfRule type="cellIs" priority="647" dxfId="727" operator="between">
      <formula>11.4</formula>
      <formula>13.9</formula>
    </cfRule>
  </conditionalFormatting>
  <conditionalFormatting sqref="G269:G272">
    <cfRule type="cellIs" priority="646" dxfId="727" operator="lessThan">
      <formula>12</formula>
    </cfRule>
  </conditionalFormatting>
  <conditionalFormatting sqref="C282:C284 C286">
    <cfRule type="cellIs" priority="645" dxfId="727" operator="greaterThanOrEqual">
      <formula>17.4</formula>
    </cfRule>
  </conditionalFormatting>
  <conditionalFormatting sqref="D282:D286">
    <cfRule type="cellIs" priority="644" dxfId="727" operator="between">
      <formula>15.4</formula>
      <formula>17.9</formula>
    </cfRule>
  </conditionalFormatting>
  <conditionalFormatting sqref="E282:E286">
    <cfRule type="cellIs" priority="643" dxfId="727" operator="between">
      <formula>13.4</formula>
      <formula>15.9</formula>
    </cfRule>
  </conditionalFormatting>
  <conditionalFormatting sqref="F282:F286">
    <cfRule type="cellIs" priority="642" dxfId="727" operator="between">
      <formula>11.4</formula>
      <formula>13.9</formula>
    </cfRule>
  </conditionalFormatting>
  <conditionalFormatting sqref="G283:G286">
    <cfRule type="cellIs" priority="641" dxfId="727" operator="lessThan">
      <formula>12</formula>
    </cfRule>
  </conditionalFormatting>
  <conditionalFormatting sqref="C216">
    <cfRule type="cellIs" priority="640" dxfId="728" operator="greaterThanOrEqual" stopIfTrue="1">
      <formula>17.4</formula>
    </cfRule>
  </conditionalFormatting>
  <conditionalFormatting sqref="D197:D201">
    <cfRule type="cellIs" priority="639" dxfId="727" operator="between">
      <formula>15.4</formula>
      <formula>17.9</formula>
    </cfRule>
  </conditionalFormatting>
  <conditionalFormatting sqref="E197:E201">
    <cfRule type="cellIs" priority="638" dxfId="727" operator="between">
      <formula>13.4</formula>
      <formula>15.9</formula>
    </cfRule>
  </conditionalFormatting>
  <conditionalFormatting sqref="F197:F201">
    <cfRule type="cellIs" priority="637" dxfId="727" operator="between">
      <formula>11.4</formula>
      <formula>13.9</formula>
    </cfRule>
  </conditionalFormatting>
  <conditionalFormatting sqref="G197:G201">
    <cfRule type="cellIs" priority="636" dxfId="727" operator="lessThan">
      <formula>12</formula>
    </cfRule>
  </conditionalFormatting>
  <conditionalFormatting sqref="C197">
    <cfRule type="cellIs" priority="635" dxfId="728" operator="greaterThanOrEqual" stopIfTrue="1">
      <formula>17.4</formula>
    </cfRule>
  </conditionalFormatting>
  <conditionalFormatting sqref="C199">
    <cfRule type="cellIs" priority="634" dxfId="728" operator="greaterThanOrEqual" stopIfTrue="1">
      <formula>17.4</formula>
    </cfRule>
  </conditionalFormatting>
  <conditionalFormatting sqref="C200:C201">
    <cfRule type="cellIs" priority="633" dxfId="728" operator="greaterThanOrEqual" stopIfTrue="1">
      <formula>17.4</formula>
    </cfRule>
  </conditionalFormatting>
  <conditionalFormatting sqref="C213 C215">
    <cfRule type="cellIs" priority="632" dxfId="728" operator="greaterThanOrEqual" stopIfTrue="1">
      <formula>17.4</formula>
    </cfRule>
  </conditionalFormatting>
  <conditionalFormatting sqref="D230">
    <cfRule type="cellIs" priority="631" dxfId="727" operator="between">
      <formula>15.4</formula>
      <formula>17.9</formula>
    </cfRule>
  </conditionalFormatting>
  <conditionalFormatting sqref="E230">
    <cfRule type="cellIs" priority="630" dxfId="727" operator="between">
      <formula>13.4</formula>
      <formula>15.9</formula>
    </cfRule>
  </conditionalFormatting>
  <conditionalFormatting sqref="F230">
    <cfRule type="cellIs" priority="629" dxfId="727" operator="between">
      <formula>11.4</formula>
      <formula>13.9</formula>
    </cfRule>
  </conditionalFormatting>
  <conditionalFormatting sqref="G230">
    <cfRule type="cellIs" priority="628" dxfId="727" operator="lessThan">
      <formula>12</formula>
    </cfRule>
  </conditionalFormatting>
  <conditionalFormatting sqref="C230">
    <cfRule type="cellIs" priority="627" dxfId="728" operator="greaterThanOrEqual" stopIfTrue="1">
      <formula>17.4</formula>
    </cfRule>
  </conditionalFormatting>
  <conditionalFormatting sqref="C212">
    <cfRule type="cellIs" priority="626" dxfId="727" operator="greaterThanOrEqual">
      <formula>17.4</formula>
    </cfRule>
  </conditionalFormatting>
  <conditionalFormatting sqref="C198">
    <cfRule type="cellIs" priority="625" dxfId="728" operator="greaterThanOrEqual" stopIfTrue="1">
      <formula>17.4</formula>
    </cfRule>
  </conditionalFormatting>
  <conditionalFormatting sqref="C239">
    <cfRule type="cellIs" priority="624" dxfId="727" operator="greaterThanOrEqual">
      <formula>17.4</formula>
    </cfRule>
  </conditionalFormatting>
  <conditionalFormatting sqref="D239">
    <cfRule type="cellIs" priority="623" dxfId="727" operator="between">
      <formula>15.4</formula>
      <formula>17.9</formula>
    </cfRule>
  </conditionalFormatting>
  <conditionalFormatting sqref="E239">
    <cfRule type="cellIs" priority="622" dxfId="727" operator="between">
      <formula>13.4</formula>
      <formula>15.9</formula>
    </cfRule>
  </conditionalFormatting>
  <conditionalFormatting sqref="F239">
    <cfRule type="cellIs" priority="621" dxfId="727" operator="between">
      <formula>11.4</formula>
      <formula>13.9</formula>
    </cfRule>
  </conditionalFormatting>
  <conditionalFormatting sqref="G239">
    <cfRule type="cellIs" priority="620" dxfId="727" operator="lessThan">
      <formula>12</formula>
    </cfRule>
  </conditionalFormatting>
  <conditionalFormatting sqref="C240">
    <cfRule type="cellIs" priority="619" dxfId="727" operator="greaterThanOrEqual">
      <formula>17.4</formula>
    </cfRule>
  </conditionalFormatting>
  <conditionalFormatting sqref="D240">
    <cfRule type="cellIs" priority="618" dxfId="727" operator="between">
      <formula>15.4</formula>
      <formula>17.9</formula>
    </cfRule>
  </conditionalFormatting>
  <conditionalFormatting sqref="E240">
    <cfRule type="cellIs" priority="617" dxfId="727" operator="between">
      <formula>13.4</formula>
      <formula>15.9</formula>
    </cfRule>
  </conditionalFormatting>
  <conditionalFormatting sqref="F240">
    <cfRule type="cellIs" priority="616" dxfId="727" operator="between">
      <formula>11.4</formula>
      <formula>13.9</formula>
    </cfRule>
  </conditionalFormatting>
  <conditionalFormatting sqref="G240">
    <cfRule type="cellIs" priority="615" dxfId="727" operator="lessThan">
      <formula>12</formula>
    </cfRule>
  </conditionalFormatting>
  <conditionalFormatting sqref="C241">
    <cfRule type="cellIs" priority="614" dxfId="727" operator="greaterThanOrEqual">
      <formula>17.4</formula>
    </cfRule>
  </conditionalFormatting>
  <conditionalFormatting sqref="D241">
    <cfRule type="cellIs" priority="613" dxfId="727" operator="between">
      <formula>15.4</formula>
      <formula>17.9</formula>
    </cfRule>
  </conditionalFormatting>
  <conditionalFormatting sqref="E241">
    <cfRule type="cellIs" priority="612" dxfId="727" operator="between">
      <formula>13.4</formula>
      <formula>15.9</formula>
    </cfRule>
  </conditionalFormatting>
  <conditionalFormatting sqref="F241">
    <cfRule type="cellIs" priority="611" dxfId="727" operator="between">
      <formula>11.4</formula>
      <formula>13.9</formula>
    </cfRule>
  </conditionalFormatting>
  <conditionalFormatting sqref="G241">
    <cfRule type="cellIs" priority="610" dxfId="727" operator="lessThan">
      <formula>12</formula>
    </cfRule>
  </conditionalFormatting>
  <conditionalFormatting sqref="C243">
    <cfRule type="cellIs" priority="604" dxfId="727" operator="greaterThanOrEqual">
      <formula>17.4</formula>
    </cfRule>
  </conditionalFormatting>
  <conditionalFormatting sqref="D243">
    <cfRule type="cellIs" priority="603" dxfId="727" operator="between">
      <formula>15.4</formula>
      <formula>17.9</formula>
    </cfRule>
  </conditionalFormatting>
  <conditionalFormatting sqref="E243">
    <cfRule type="cellIs" priority="602" dxfId="727" operator="between">
      <formula>13.4</formula>
      <formula>15.9</formula>
    </cfRule>
  </conditionalFormatting>
  <conditionalFormatting sqref="F243">
    <cfRule type="cellIs" priority="601" dxfId="727" operator="between">
      <formula>11.4</formula>
      <formula>13.9</formula>
    </cfRule>
  </conditionalFormatting>
  <conditionalFormatting sqref="G243">
    <cfRule type="cellIs" priority="600" dxfId="727" operator="lessThan">
      <formula>12</formula>
    </cfRule>
  </conditionalFormatting>
  <conditionalFormatting sqref="D308:D312">
    <cfRule type="cellIs" priority="599" dxfId="727" operator="between">
      <formula>15.4</formula>
      <formula>17.9</formula>
    </cfRule>
  </conditionalFormatting>
  <conditionalFormatting sqref="E308:E312">
    <cfRule type="cellIs" priority="598" dxfId="727" operator="between">
      <formula>13.4</formula>
      <formula>15.9</formula>
    </cfRule>
  </conditionalFormatting>
  <conditionalFormatting sqref="F308:F312">
    <cfRule type="cellIs" priority="597" dxfId="727" operator="between">
      <formula>11.4</formula>
      <formula>13.9</formula>
    </cfRule>
  </conditionalFormatting>
  <conditionalFormatting sqref="G308:G312">
    <cfRule type="cellIs" priority="596" dxfId="727" operator="lessThan">
      <formula>12</formula>
    </cfRule>
  </conditionalFormatting>
  <conditionalFormatting sqref="C321 C323">
    <cfRule type="cellIs" priority="595" dxfId="727" operator="greaterThanOrEqual">
      <formula>17.4</formula>
    </cfRule>
  </conditionalFormatting>
  <conditionalFormatting sqref="D321 D323:D324">
    <cfRule type="cellIs" priority="594" dxfId="727" operator="between">
      <formula>15.4</formula>
      <formula>17.9</formula>
    </cfRule>
  </conditionalFormatting>
  <conditionalFormatting sqref="E321 E323:E324">
    <cfRule type="cellIs" priority="593" dxfId="727" operator="between">
      <formula>13.4</formula>
      <formula>15.9</formula>
    </cfRule>
  </conditionalFormatting>
  <conditionalFormatting sqref="F321 F323:F324">
    <cfRule type="cellIs" priority="592" dxfId="727" operator="between">
      <formula>11.4</formula>
      <formula>13.9</formula>
    </cfRule>
  </conditionalFormatting>
  <conditionalFormatting sqref="G321 G323:G324">
    <cfRule type="cellIs" priority="591" dxfId="727" operator="lessThan">
      <formula>12</formula>
    </cfRule>
  </conditionalFormatting>
  <conditionalFormatting sqref="C351:C355">
    <cfRule type="cellIs" priority="590" dxfId="727" operator="greaterThanOrEqual">
      <formula>17.4</formula>
    </cfRule>
  </conditionalFormatting>
  <conditionalFormatting sqref="D351:D355">
    <cfRule type="cellIs" priority="589" dxfId="727" operator="between">
      <formula>15.4</formula>
      <formula>17.9</formula>
    </cfRule>
  </conditionalFormatting>
  <conditionalFormatting sqref="E351:E355">
    <cfRule type="cellIs" priority="588" dxfId="727" operator="between">
      <formula>13.4</formula>
      <formula>15.9</formula>
    </cfRule>
  </conditionalFormatting>
  <conditionalFormatting sqref="F351:F355">
    <cfRule type="cellIs" priority="587" dxfId="727" operator="between">
      <formula>11.4</formula>
      <formula>13.9</formula>
    </cfRule>
  </conditionalFormatting>
  <conditionalFormatting sqref="G351 G354:G355">
    <cfRule type="cellIs" priority="586" dxfId="727" operator="lessThan">
      <formula>12</formula>
    </cfRule>
  </conditionalFormatting>
  <conditionalFormatting sqref="C365 C367 C369">
    <cfRule type="cellIs" priority="585" dxfId="727" operator="greaterThanOrEqual">
      <formula>17.4</formula>
    </cfRule>
  </conditionalFormatting>
  <conditionalFormatting sqref="D365 D367:D369">
    <cfRule type="cellIs" priority="584" dxfId="727" operator="between">
      <formula>15.4</formula>
      <formula>17.9</formula>
    </cfRule>
  </conditionalFormatting>
  <conditionalFormatting sqref="E365 E367:E369">
    <cfRule type="cellIs" priority="583" dxfId="727" operator="between">
      <formula>13.4</formula>
      <formula>15.9</formula>
    </cfRule>
  </conditionalFormatting>
  <conditionalFormatting sqref="F365 F367:F369">
    <cfRule type="cellIs" priority="582" dxfId="727" operator="between">
      <formula>11.4</formula>
      <formula>13.9</formula>
    </cfRule>
  </conditionalFormatting>
  <conditionalFormatting sqref="G365 G367:G369">
    <cfRule type="cellIs" priority="581" dxfId="727" operator="lessThan">
      <formula>12</formula>
    </cfRule>
  </conditionalFormatting>
  <conditionalFormatting sqref="C378:C382">
    <cfRule type="cellIs" priority="580" dxfId="727" operator="greaterThanOrEqual">
      <formula>17.4</formula>
    </cfRule>
  </conditionalFormatting>
  <conditionalFormatting sqref="D378:D382">
    <cfRule type="cellIs" priority="579" dxfId="727" operator="between">
      <formula>15.4</formula>
      <formula>17.9</formula>
    </cfRule>
  </conditionalFormatting>
  <conditionalFormatting sqref="E378:E382">
    <cfRule type="cellIs" priority="578" dxfId="727" operator="between">
      <formula>13.4</formula>
      <formula>15.9</formula>
    </cfRule>
  </conditionalFormatting>
  <conditionalFormatting sqref="F378:F382">
    <cfRule type="cellIs" priority="577" dxfId="727" operator="between">
      <formula>11.4</formula>
      <formula>13.9</formula>
    </cfRule>
  </conditionalFormatting>
  <conditionalFormatting sqref="G378:G382">
    <cfRule type="cellIs" priority="576" dxfId="727" operator="lessThan">
      <formula>12</formula>
    </cfRule>
  </conditionalFormatting>
  <conditionalFormatting sqref="C312">
    <cfRule type="cellIs" priority="575" dxfId="728" operator="greaterThanOrEqual" stopIfTrue="1">
      <formula>17.4</formula>
    </cfRule>
  </conditionalFormatting>
  <conditionalFormatting sqref="D293:D294 D296:D297">
    <cfRule type="cellIs" priority="574" dxfId="727" operator="between">
      <formula>15.4</formula>
      <formula>17.9</formula>
    </cfRule>
  </conditionalFormatting>
  <conditionalFormatting sqref="E293:E294 E296:E297">
    <cfRule type="cellIs" priority="573" dxfId="727" operator="between">
      <formula>13.4</formula>
      <formula>15.9</formula>
    </cfRule>
  </conditionalFormatting>
  <conditionalFormatting sqref="F293:F294 F296:F297">
    <cfRule type="cellIs" priority="572" dxfId="727" operator="between">
      <formula>11.4</formula>
      <formula>13.9</formula>
    </cfRule>
  </conditionalFormatting>
  <conditionalFormatting sqref="G293:G294 G296:G297">
    <cfRule type="cellIs" priority="571" dxfId="727" operator="lessThan">
      <formula>12</formula>
    </cfRule>
  </conditionalFormatting>
  <conditionalFormatting sqref="C293">
    <cfRule type="cellIs" priority="570" dxfId="728" operator="greaterThanOrEqual" stopIfTrue="1">
      <formula>17.4</formula>
    </cfRule>
  </conditionalFormatting>
  <conditionalFormatting sqref="C296">
    <cfRule type="cellIs" priority="568" dxfId="728" operator="greaterThanOrEqual" stopIfTrue="1">
      <formula>17.4</formula>
    </cfRule>
  </conditionalFormatting>
  <conditionalFormatting sqref="C309:C311">
    <cfRule type="cellIs" priority="567" dxfId="728" operator="greaterThanOrEqual" stopIfTrue="1">
      <formula>17.4</formula>
    </cfRule>
  </conditionalFormatting>
  <conditionalFormatting sqref="D325">
    <cfRule type="cellIs" priority="566" dxfId="727" operator="between">
      <formula>15.4</formula>
      <formula>17.9</formula>
    </cfRule>
  </conditionalFormatting>
  <conditionalFormatting sqref="E325">
    <cfRule type="cellIs" priority="565" dxfId="727" operator="between">
      <formula>13.4</formula>
      <formula>15.9</formula>
    </cfRule>
  </conditionalFormatting>
  <conditionalFormatting sqref="F325">
    <cfRule type="cellIs" priority="564" dxfId="727" operator="between">
      <formula>11.4</formula>
      <formula>13.9</formula>
    </cfRule>
  </conditionalFormatting>
  <conditionalFormatting sqref="G325">
    <cfRule type="cellIs" priority="563" dxfId="727" operator="lessThan">
      <formula>12</formula>
    </cfRule>
  </conditionalFormatting>
  <conditionalFormatting sqref="C325">
    <cfRule type="cellIs" priority="562" dxfId="728" operator="greaterThanOrEqual" stopIfTrue="1">
      <formula>17.4</formula>
    </cfRule>
  </conditionalFormatting>
  <conditionalFormatting sqref="C308">
    <cfRule type="cellIs" priority="561" dxfId="727" operator="greaterThanOrEqual">
      <formula>17.4</formula>
    </cfRule>
  </conditionalFormatting>
  <conditionalFormatting sqref="C294">
    <cfRule type="cellIs" priority="560" dxfId="728" operator="greaterThanOrEqual" stopIfTrue="1">
      <formula>17.4</formula>
    </cfRule>
  </conditionalFormatting>
  <conditionalFormatting sqref="C338">
    <cfRule type="cellIs" priority="559" dxfId="727" operator="greaterThanOrEqual">
      <formula>17.4</formula>
    </cfRule>
  </conditionalFormatting>
  <conditionalFormatting sqref="D338">
    <cfRule type="cellIs" priority="558" dxfId="727" operator="between">
      <formula>15.4</formula>
      <formula>17.9</formula>
    </cfRule>
  </conditionalFormatting>
  <conditionalFormatting sqref="E338">
    <cfRule type="cellIs" priority="557" dxfId="727" operator="between">
      <formula>13.4</formula>
      <formula>15.9</formula>
    </cfRule>
  </conditionalFormatting>
  <conditionalFormatting sqref="F338">
    <cfRule type="cellIs" priority="556" dxfId="727" operator="between">
      <formula>11.4</formula>
      <formula>13.9</formula>
    </cfRule>
  </conditionalFormatting>
  <conditionalFormatting sqref="G338">
    <cfRule type="cellIs" priority="555" dxfId="727" operator="lessThan">
      <formula>12</formula>
    </cfRule>
  </conditionalFormatting>
  <conditionalFormatting sqref="C339">
    <cfRule type="cellIs" priority="554" dxfId="727" operator="greaterThanOrEqual">
      <formula>17.4</formula>
    </cfRule>
  </conditionalFormatting>
  <conditionalFormatting sqref="D339">
    <cfRule type="cellIs" priority="553" dxfId="727" operator="between">
      <formula>15.4</formula>
      <formula>17.9</formula>
    </cfRule>
  </conditionalFormatting>
  <conditionalFormatting sqref="E339">
    <cfRule type="cellIs" priority="552" dxfId="727" operator="between">
      <formula>13.4</formula>
      <formula>15.9</formula>
    </cfRule>
  </conditionalFormatting>
  <conditionalFormatting sqref="F339">
    <cfRule type="cellIs" priority="551" dxfId="727" operator="between">
      <formula>11.4</formula>
      <formula>13.9</formula>
    </cfRule>
  </conditionalFormatting>
  <conditionalFormatting sqref="G339">
    <cfRule type="cellIs" priority="550" dxfId="727" operator="lessThan">
      <formula>12</formula>
    </cfRule>
  </conditionalFormatting>
  <conditionalFormatting sqref="C340">
    <cfRule type="cellIs" priority="549" dxfId="727" operator="greaterThanOrEqual">
      <formula>17.4</formula>
    </cfRule>
  </conditionalFormatting>
  <conditionalFormatting sqref="D340">
    <cfRule type="cellIs" priority="548" dxfId="727" operator="between">
      <formula>15.4</formula>
      <formula>17.9</formula>
    </cfRule>
  </conditionalFormatting>
  <conditionalFormatting sqref="E340">
    <cfRule type="cellIs" priority="547" dxfId="727" operator="between">
      <formula>13.4</formula>
      <formula>15.9</formula>
    </cfRule>
  </conditionalFormatting>
  <conditionalFormatting sqref="F340">
    <cfRule type="cellIs" priority="546" dxfId="727" operator="between">
      <formula>11.4</formula>
      <formula>13.9</formula>
    </cfRule>
  </conditionalFormatting>
  <conditionalFormatting sqref="G340">
    <cfRule type="cellIs" priority="545" dxfId="727" operator="lessThan">
      <formula>12</formula>
    </cfRule>
  </conditionalFormatting>
  <conditionalFormatting sqref="C341">
    <cfRule type="cellIs" priority="544" dxfId="727" operator="greaterThanOrEqual">
      <formula>17.4</formula>
    </cfRule>
  </conditionalFormatting>
  <conditionalFormatting sqref="D341">
    <cfRule type="cellIs" priority="543" dxfId="727" operator="between">
      <formula>15.4</formula>
      <formula>17.9</formula>
    </cfRule>
  </conditionalFormatting>
  <conditionalFormatting sqref="E341">
    <cfRule type="cellIs" priority="542" dxfId="727" operator="between">
      <formula>13.4</formula>
      <formula>15.9</formula>
    </cfRule>
  </conditionalFormatting>
  <conditionalFormatting sqref="F341">
    <cfRule type="cellIs" priority="541" dxfId="727" operator="between">
      <formula>11.4</formula>
      <formula>13.9</formula>
    </cfRule>
  </conditionalFormatting>
  <conditionalFormatting sqref="G341">
    <cfRule type="cellIs" priority="540" dxfId="727" operator="lessThan">
      <formula>12</formula>
    </cfRule>
  </conditionalFormatting>
  <conditionalFormatting sqref="C342">
    <cfRule type="cellIs" priority="539" dxfId="727" operator="greaterThanOrEqual">
      <formula>17.4</formula>
    </cfRule>
  </conditionalFormatting>
  <conditionalFormatting sqref="D342">
    <cfRule type="cellIs" priority="538" dxfId="727" operator="between">
      <formula>15.4</formula>
      <formula>17.9</formula>
    </cfRule>
  </conditionalFormatting>
  <conditionalFormatting sqref="E342">
    <cfRule type="cellIs" priority="537" dxfId="727" operator="between">
      <formula>13.4</formula>
      <formula>15.9</formula>
    </cfRule>
  </conditionalFormatting>
  <conditionalFormatting sqref="F342">
    <cfRule type="cellIs" priority="536" dxfId="727" operator="between">
      <formula>11.4</formula>
      <formula>13.9</formula>
    </cfRule>
  </conditionalFormatting>
  <conditionalFormatting sqref="G342">
    <cfRule type="cellIs" priority="535" dxfId="727" operator="lessThan">
      <formula>12</formula>
    </cfRule>
  </conditionalFormatting>
  <conditionalFormatting sqref="D407:D411">
    <cfRule type="cellIs" priority="534" dxfId="727" operator="between">
      <formula>15.4</formula>
      <formula>17.9</formula>
    </cfRule>
  </conditionalFormatting>
  <conditionalFormatting sqref="E407:E411">
    <cfRule type="cellIs" priority="533" dxfId="727" operator="between">
      <formula>13.4</formula>
      <formula>15.9</formula>
    </cfRule>
  </conditionalFormatting>
  <conditionalFormatting sqref="F407:F411">
    <cfRule type="cellIs" priority="532" dxfId="727" operator="between">
      <formula>11.4</formula>
      <formula>13.9</formula>
    </cfRule>
  </conditionalFormatting>
  <conditionalFormatting sqref="G407:G411">
    <cfRule type="cellIs" priority="531" dxfId="727" operator="lessThan">
      <formula>12</formula>
    </cfRule>
  </conditionalFormatting>
  <conditionalFormatting sqref="C420:C423">
    <cfRule type="cellIs" priority="530" dxfId="727" operator="greaterThanOrEqual">
      <formula>17.4</formula>
    </cfRule>
  </conditionalFormatting>
  <conditionalFormatting sqref="D420:D423">
    <cfRule type="cellIs" priority="529" dxfId="727" operator="between">
      <formula>15.4</formula>
      <formula>17.9</formula>
    </cfRule>
  </conditionalFormatting>
  <conditionalFormatting sqref="E420:E423">
    <cfRule type="cellIs" priority="528" dxfId="727" operator="between">
      <formula>13.4</formula>
      <formula>15.9</formula>
    </cfRule>
  </conditionalFormatting>
  <conditionalFormatting sqref="F420:F423">
    <cfRule type="cellIs" priority="527" dxfId="727" operator="between">
      <formula>11.4</formula>
      <formula>13.9</formula>
    </cfRule>
  </conditionalFormatting>
  <conditionalFormatting sqref="G420:G422">
    <cfRule type="cellIs" priority="526" dxfId="727" operator="lessThan">
      <formula>12</formula>
    </cfRule>
  </conditionalFormatting>
  <conditionalFormatting sqref="C447 C449:C451">
    <cfRule type="cellIs" priority="525" dxfId="727" operator="greaterThanOrEqual">
      <formula>17.4</formula>
    </cfRule>
  </conditionalFormatting>
  <conditionalFormatting sqref="D447:D451">
    <cfRule type="cellIs" priority="524" dxfId="727" operator="between">
      <formula>15.4</formula>
      <formula>17.9</formula>
    </cfRule>
  </conditionalFormatting>
  <conditionalFormatting sqref="E447:E451">
    <cfRule type="cellIs" priority="523" dxfId="727" operator="between">
      <formula>13.4</formula>
      <formula>15.9</formula>
    </cfRule>
  </conditionalFormatting>
  <conditionalFormatting sqref="F447:F451">
    <cfRule type="cellIs" priority="522" dxfId="727" operator="between">
      <formula>11.4</formula>
      <formula>13.9</formula>
    </cfRule>
  </conditionalFormatting>
  <conditionalFormatting sqref="G447:G451">
    <cfRule type="cellIs" priority="521" dxfId="727" operator="lessThan">
      <formula>12</formula>
    </cfRule>
  </conditionalFormatting>
  <conditionalFormatting sqref="C460:C463">
    <cfRule type="cellIs" priority="520" dxfId="727" operator="greaterThanOrEqual">
      <formula>17.4</formula>
    </cfRule>
  </conditionalFormatting>
  <conditionalFormatting sqref="D460:D463">
    <cfRule type="cellIs" priority="519" dxfId="727" operator="between">
      <formula>15.4</formula>
      <formula>17.9</formula>
    </cfRule>
  </conditionalFormatting>
  <conditionalFormatting sqref="E460:E463">
    <cfRule type="cellIs" priority="518" dxfId="727" operator="between">
      <formula>13.4</formula>
      <formula>15.9</formula>
    </cfRule>
  </conditionalFormatting>
  <conditionalFormatting sqref="F460:F463">
    <cfRule type="cellIs" priority="517" dxfId="727" operator="between">
      <formula>11.4</formula>
      <formula>13.9</formula>
    </cfRule>
  </conditionalFormatting>
  <conditionalFormatting sqref="G460:G463">
    <cfRule type="cellIs" priority="516" dxfId="727" operator="lessThan">
      <formula>12</formula>
    </cfRule>
  </conditionalFormatting>
  <conditionalFormatting sqref="C478 C480:C481">
    <cfRule type="cellIs" priority="515" dxfId="727" operator="greaterThanOrEqual">
      <formula>17.4</formula>
    </cfRule>
  </conditionalFormatting>
  <conditionalFormatting sqref="D478:D481">
    <cfRule type="cellIs" priority="514" dxfId="727" operator="between">
      <formula>15.4</formula>
      <formula>17.9</formula>
    </cfRule>
  </conditionalFormatting>
  <conditionalFormatting sqref="E478:E481">
    <cfRule type="cellIs" priority="513" dxfId="727" operator="between">
      <formula>13.4</formula>
      <formula>15.9</formula>
    </cfRule>
  </conditionalFormatting>
  <conditionalFormatting sqref="F478:F481">
    <cfRule type="cellIs" priority="512" dxfId="727" operator="between">
      <formula>11.4</formula>
      <formula>13.9</formula>
    </cfRule>
  </conditionalFormatting>
  <conditionalFormatting sqref="G478:G481">
    <cfRule type="cellIs" priority="511" dxfId="727" operator="lessThan">
      <formula>12</formula>
    </cfRule>
  </conditionalFormatting>
  <conditionalFormatting sqref="C411">
    <cfRule type="cellIs" priority="510" dxfId="728" operator="greaterThanOrEqual" stopIfTrue="1">
      <formula>17.4</formula>
    </cfRule>
  </conditionalFormatting>
  <conditionalFormatting sqref="D388:D392">
    <cfRule type="cellIs" priority="509" dxfId="727" operator="between">
      <formula>15.4</formula>
      <formula>17.9</formula>
    </cfRule>
  </conditionalFormatting>
  <conditionalFormatting sqref="E388:E392">
    <cfRule type="cellIs" priority="508" dxfId="727" operator="between">
      <formula>13.4</formula>
      <formula>15.9</formula>
    </cfRule>
  </conditionalFormatting>
  <conditionalFormatting sqref="F388:F392">
    <cfRule type="cellIs" priority="507" dxfId="727" operator="between">
      <formula>11.4</formula>
      <formula>13.9</formula>
    </cfRule>
  </conditionalFormatting>
  <conditionalFormatting sqref="G388:G392">
    <cfRule type="cellIs" priority="506" dxfId="727" operator="lessThan">
      <formula>12</formula>
    </cfRule>
  </conditionalFormatting>
  <conditionalFormatting sqref="C388">
    <cfRule type="cellIs" priority="505" dxfId="728" operator="greaterThanOrEqual" stopIfTrue="1">
      <formula>17.4</formula>
    </cfRule>
  </conditionalFormatting>
  <conditionalFormatting sqref="C390">
    <cfRule type="cellIs" priority="504" dxfId="728" operator="greaterThanOrEqual" stopIfTrue="1">
      <formula>17.4</formula>
    </cfRule>
  </conditionalFormatting>
  <conditionalFormatting sqref="C391:C392">
    <cfRule type="cellIs" priority="503" dxfId="728" operator="greaterThanOrEqual" stopIfTrue="1">
      <formula>17.4</formula>
    </cfRule>
  </conditionalFormatting>
  <conditionalFormatting sqref="C409:C410">
    <cfRule type="cellIs" priority="502" dxfId="728" operator="greaterThanOrEqual" stopIfTrue="1">
      <formula>17.4</formula>
    </cfRule>
  </conditionalFormatting>
  <conditionalFormatting sqref="D424">
    <cfRule type="cellIs" priority="501" dxfId="727" operator="between">
      <formula>15.4</formula>
      <formula>17.9</formula>
    </cfRule>
  </conditionalFormatting>
  <conditionalFormatting sqref="E424">
    <cfRule type="cellIs" priority="500" dxfId="727" operator="between">
      <formula>13.4</formula>
      <formula>15.9</formula>
    </cfRule>
  </conditionalFormatting>
  <conditionalFormatting sqref="F424">
    <cfRule type="cellIs" priority="499" dxfId="727" operator="between">
      <formula>11.4</formula>
      <formula>13.9</formula>
    </cfRule>
  </conditionalFormatting>
  <conditionalFormatting sqref="C424">
    <cfRule type="cellIs" priority="497" dxfId="728" operator="greaterThanOrEqual" stopIfTrue="1">
      <formula>17.4</formula>
    </cfRule>
  </conditionalFormatting>
  <conditionalFormatting sqref="C407">
    <cfRule type="cellIs" priority="496" dxfId="727" operator="greaterThanOrEqual">
      <formula>17.4</formula>
    </cfRule>
  </conditionalFormatting>
  <conditionalFormatting sqref="C389">
    <cfRule type="cellIs" priority="495" dxfId="728" operator="greaterThanOrEqual" stopIfTrue="1">
      <formula>17.4</formula>
    </cfRule>
  </conditionalFormatting>
  <conditionalFormatting sqref="C433:C434">
    <cfRule type="cellIs" priority="494" dxfId="727" operator="greaterThanOrEqual">
      <formula>17.4</formula>
    </cfRule>
  </conditionalFormatting>
  <conditionalFormatting sqref="D433:D434">
    <cfRule type="cellIs" priority="493" dxfId="727" operator="between">
      <formula>15.4</formula>
      <formula>17.9</formula>
    </cfRule>
  </conditionalFormatting>
  <conditionalFormatting sqref="E433:E434">
    <cfRule type="cellIs" priority="492" dxfId="727" operator="between">
      <formula>13.4</formula>
      <formula>15.9</formula>
    </cfRule>
  </conditionalFormatting>
  <conditionalFormatting sqref="F433:F434">
    <cfRule type="cellIs" priority="491" dxfId="727" operator="between">
      <formula>11.4</formula>
      <formula>13.9</formula>
    </cfRule>
  </conditionalFormatting>
  <conditionalFormatting sqref="G433">
    <cfRule type="cellIs" priority="490" dxfId="727" operator="lessThan">
      <formula>12</formula>
    </cfRule>
  </conditionalFormatting>
  <conditionalFormatting sqref="C435">
    <cfRule type="cellIs" priority="489" dxfId="727" operator="greaterThanOrEqual">
      <formula>17.4</formula>
    </cfRule>
  </conditionalFormatting>
  <conditionalFormatting sqref="D435">
    <cfRule type="cellIs" priority="488" dxfId="727" operator="between">
      <formula>15.4</formula>
      <formula>17.9</formula>
    </cfRule>
  </conditionalFormatting>
  <conditionalFormatting sqref="E435">
    <cfRule type="cellIs" priority="487" dxfId="727" operator="between">
      <formula>13.4</formula>
      <formula>15.9</formula>
    </cfRule>
  </conditionalFormatting>
  <conditionalFormatting sqref="F435">
    <cfRule type="cellIs" priority="486" dxfId="727" operator="between">
      <formula>11.4</formula>
      <formula>13.9</formula>
    </cfRule>
  </conditionalFormatting>
  <conditionalFormatting sqref="G435">
    <cfRule type="cellIs" priority="485" dxfId="727" operator="lessThan">
      <formula>12</formula>
    </cfRule>
  </conditionalFormatting>
  <conditionalFormatting sqref="C436">
    <cfRule type="cellIs" priority="484" dxfId="727" operator="greaterThanOrEqual">
      <formula>17.4</formula>
    </cfRule>
  </conditionalFormatting>
  <conditionalFormatting sqref="D436">
    <cfRule type="cellIs" priority="483" dxfId="727" operator="between">
      <formula>15.4</formula>
      <formula>17.9</formula>
    </cfRule>
  </conditionalFormatting>
  <conditionalFormatting sqref="E436">
    <cfRule type="cellIs" priority="482" dxfId="727" operator="between">
      <formula>13.4</formula>
      <formula>15.9</formula>
    </cfRule>
  </conditionalFormatting>
  <conditionalFormatting sqref="F436">
    <cfRule type="cellIs" priority="481" dxfId="727" operator="between">
      <formula>11.4</formula>
      <formula>13.9</formula>
    </cfRule>
  </conditionalFormatting>
  <conditionalFormatting sqref="G436">
    <cfRule type="cellIs" priority="480" dxfId="727" operator="lessThan">
      <formula>12</formula>
    </cfRule>
  </conditionalFormatting>
  <conditionalFormatting sqref="C438">
    <cfRule type="cellIs" priority="474" dxfId="727" operator="greaterThanOrEqual">
      <formula>17.4</formula>
    </cfRule>
  </conditionalFormatting>
  <conditionalFormatting sqref="D438">
    <cfRule type="cellIs" priority="473" dxfId="727" operator="between">
      <formula>15.4</formula>
      <formula>17.9</formula>
    </cfRule>
  </conditionalFormatting>
  <conditionalFormatting sqref="E438">
    <cfRule type="cellIs" priority="472" dxfId="727" operator="between">
      <formula>13.4</formula>
      <formula>15.9</formula>
    </cfRule>
  </conditionalFormatting>
  <conditionalFormatting sqref="F438">
    <cfRule type="cellIs" priority="471" dxfId="727" operator="between">
      <formula>11.4</formula>
      <formula>13.9</formula>
    </cfRule>
  </conditionalFormatting>
  <conditionalFormatting sqref="G438">
    <cfRule type="cellIs" priority="470" dxfId="727" operator="lessThan">
      <formula>12</formula>
    </cfRule>
  </conditionalFormatting>
  <conditionalFormatting sqref="D502:D507">
    <cfRule type="cellIs" priority="469" dxfId="727" operator="between">
      <formula>15.4</formula>
      <formula>17.9</formula>
    </cfRule>
  </conditionalFormatting>
  <conditionalFormatting sqref="E502:E507">
    <cfRule type="cellIs" priority="468" dxfId="727" operator="between">
      <formula>13.4</formula>
      <formula>15.9</formula>
    </cfRule>
  </conditionalFormatting>
  <conditionalFormatting sqref="F502:F507">
    <cfRule type="cellIs" priority="467" dxfId="727" operator="between">
      <formula>11.4</formula>
      <formula>13.9</formula>
    </cfRule>
  </conditionalFormatting>
  <conditionalFormatting sqref="G502:G504 G506:G507">
    <cfRule type="cellIs" priority="466" dxfId="727" operator="lessThan">
      <formula>12</formula>
    </cfRule>
  </conditionalFormatting>
  <conditionalFormatting sqref="C516 C518">
    <cfRule type="cellIs" priority="465" dxfId="727" operator="greaterThanOrEqual">
      <formula>17.4</formula>
    </cfRule>
  </conditionalFormatting>
  <conditionalFormatting sqref="D516 D518:D519">
    <cfRule type="cellIs" priority="464" dxfId="727" operator="between">
      <formula>15.4</formula>
      <formula>17.9</formula>
    </cfRule>
  </conditionalFormatting>
  <conditionalFormatting sqref="E516 E518:E519">
    <cfRule type="cellIs" priority="463" dxfId="727" operator="between">
      <formula>13.4</formula>
      <formula>15.9</formula>
    </cfRule>
  </conditionalFormatting>
  <conditionalFormatting sqref="F516 F518:F519">
    <cfRule type="cellIs" priority="462" dxfId="727" operator="between">
      <formula>11.4</formula>
      <formula>13.9</formula>
    </cfRule>
  </conditionalFormatting>
  <conditionalFormatting sqref="G516 G518:G519">
    <cfRule type="cellIs" priority="461" dxfId="727" operator="lessThan">
      <formula>12</formula>
    </cfRule>
  </conditionalFormatting>
  <conditionalFormatting sqref="C542:C547 C549">
    <cfRule type="cellIs" priority="460" dxfId="727" operator="greaterThanOrEqual">
      <formula>17.4</formula>
    </cfRule>
  </conditionalFormatting>
  <conditionalFormatting sqref="D542:D547 D549:D550">
    <cfRule type="cellIs" priority="459" dxfId="727" operator="between">
      <formula>15.4</formula>
      <formula>17.9</formula>
    </cfRule>
  </conditionalFormatting>
  <conditionalFormatting sqref="E542:E547 E549:E550">
    <cfRule type="cellIs" priority="458" dxfId="727" operator="between">
      <formula>13.4</formula>
      <formula>15.9</formula>
    </cfRule>
  </conditionalFormatting>
  <conditionalFormatting sqref="F542:F547 F549:F550">
    <cfRule type="cellIs" priority="457" dxfId="727" operator="between">
      <formula>11.4</formula>
      <formula>13.9</formula>
    </cfRule>
  </conditionalFormatting>
  <conditionalFormatting sqref="G542:G543 G549:G550">
    <cfRule type="cellIs" priority="456" dxfId="727" operator="lessThan">
      <formula>12</formula>
    </cfRule>
  </conditionalFormatting>
  <conditionalFormatting sqref="C560:C563">
    <cfRule type="cellIs" priority="455" dxfId="727" operator="greaterThanOrEqual">
      <formula>17.4</formula>
    </cfRule>
  </conditionalFormatting>
  <conditionalFormatting sqref="D559:D563">
    <cfRule type="cellIs" priority="454" dxfId="727" operator="between">
      <formula>15.4</formula>
      <formula>17.9</formula>
    </cfRule>
  </conditionalFormatting>
  <conditionalFormatting sqref="E559:E563">
    <cfRule type="cellIs" priority="453" dxfId="727" operator="between">
      <formula>13.4</formula>
      <formula>15.9</formula>
    </cfRule>
  </conditionalFormatting>
  <conditionalFormatting sqref="F559:F563">
    <cfRule type="cellIs" priority="452" dxfId="727" operator="between">
      <formula>11.4</formula>
      <formula>13.9</formula>
    </cfRule>
  </conditionalFormatting>
  <conditionalFormatting sqref="G559:G563">
    <cfRule type="cellIs" priority="451" dxfId="727" operator="lessThan">
      <formula>12</formula>
    </cfRule>
  </conditionalFormatting>
  <conditionalFormatting sqref="C572:C577">
    <cfRule type="cellIs" priority="450" dxfId="727" operator="greaterThanOrEqual">
      <formula>17.4</formula>
    </cfRule>
  </conditionalFormatting>
  <conditionalFormatting sqref="D572:D577">
    <cfRule type="cellIs" priority="449" dxfId="727" operator="between">
      <formula>15.4</formula>
      <formula>17.9</formula>
    </cfRule>
  </conditionalFormatting>
  <conditionalFormatting sqref="E572:E577">
    <cfRule type="cellIs" priority="448" dxfId="727" operator="between">
      <formula>13.4</formula>
      <formula>15.9</formula>
    </cfRule>
  </conditionalFormatting>
  <conditionalFormatting sqref="F572:F577">
    <cfRule type="cellIs" priority="447" dxfId="727" operator="between">
      <formula>11.4</formula>
      <formula>13.9</formula>
    </cfRule>
  </conditionalFormatting>
  <conditionalFormatting sqref="G572:G575 G577">
    <cfRule type="cellIs" priority="446" dxfId="727" operator="lessThan">
      <formula>12</formula>
    </cfRule>
  </conditionalFormatting>
  <conditionalFormatting sqref="C507">
    <cfRule type="cellIs" priority="445" dxfId="728" operator="greaterThanOrEqual" stopIfTrue="1">
      <formula>17.4</formula>
    </cfRule>
  </conditionalFormatting>
  <conditionalFormatting sqref="D487:D491">
    <cfRule type="cellIs" priority="444" dxfId="727" operator="between">
      <formula>15.4</formula>
      <formula>17.9</formula>
    </cfRule>
  </conditionalFormatting>
  <conditionalFormatting sqref="E487:E491">
    <cfRule type="cellIs" priority="443" dxfId="727" operator="between">
      <formula>13.4</formula>
      <formula>15.9</formula>
    </cfRule>
  </conditionalFormatting>
  <conditionalFormatting sqref="F487:F491">
    <cfRule type="cellIs" priority="442" dxfId="727" operator="between">
      <formula>11.4</formula>
      <formula>13.9</formula>
    </cfRule>
  </conditionalFormatting>
  <conditionalFormatting sqref="G487:G491">
    <cfRule type="cellIs" priority="441" dxfId="727" operator="lessThan">
      <formula>12</formula>
    </cfRule>
  </conditionalFormatting>
  <conditionalFormatting sqref="C487">
    <cfRule type="cellIs" priority="440" dxfId="728" operator="greaterThanOrEqual" stopIfTrue="1">
      <formula>17.4</formula>
    </cfRule>
  </conditionalFormatting>
  <conditionalFormatting sqref="C489">
    <cfRule type="cellIs" priority="439" dxfId="728" operator="greaterThanOrEqual" stopIfTrue="1">
      <formula>17.4</formula>
    </cfRule>
  </conditionalFormatting>
  <conditionalFormatting sqref="C490:C491">
    <cfRule type="cellIs" priority="438" dxfId="728" operator="greaterThanOrEqual" stopIfTrue="1">
      <formula>17.4</formula>
    </cfRule>
  </conditionalFormatting>
  <conditionalFormatting sqref="C503:C506">
    <cfRule type="cellIs" priority="437" dxfId="728" operator="greaterThanOrEqual" stopIfTrue="1">
      <formula>17.4</formula>
    </cfRule>
  </conditionalFormatting>
  <conditionalFormatting sqref="D520">
    <cfRule type="cellIs" priority="436" dxfId="727" operator="between">
      <formula>15.4</formula>
      <formula>17.9</formula>
    </cfRule>
  </conditionalFormatting>
  <conditionalFormatting sqref="E520">
    <cfRule type="cellIs" priority="435" dxfId="727" operator="between">
      <formula>13.4</formula>
      <formula>15.9</formula>
    </cfRule>
  </conditionalFormatting>
  <conditionalFormatting sqref="F520">
    <cfRule type="cellIs" priority="434" dxfId="727" operator="between">
      <formula>11.4</formula>
      <formula>13.9</formula>
    </cfRule>
  </conditionalFormatting>
  <conditionalFormatting sqref="G520">
    <cfRule type="cellIs" priority="433" dxfId="727" operator="lessThan">
      <formula>12</formula>
    </cfRule>
  </conditionalFormatting>
  <conditionalFormatting sqref="C520">
    <cfRule type="cellIs" priority="432" dxfId="728" operator="greaterThanOrEqual" stopIfTrue="1">
      <formula>17.4</formula>
    </cfRule>
  </conditionalFormatting>
  <conditionalFormatting sqref="C502">
    <cfRule type="cellIs" priority="431" dxfId="727" operator="greaterThanOrEqual">
      <formula>17.4</formula>
    </cfRule>
  </conditionalFormatting>
  <conditionalFormatting sqref="C529">
    <cfRule type="cellIs" priority="429" dxfId="727" operator="greaterThanOrEqual">
      <formula>17.4</formula>
    </cfRule>
  </conditionalFormatting>
  <conditionalFormatting sqref="D529">
    <cfRule type="cellIs" priority="428" dxfId="727" operator="between">
      <formula>15.4</formula>
      <formula>17.9</formula>
    </cfRule>
  </conditionalFormatting>
  <conditionalFormatting sqref="E529">
    <cfRule type="cellIs" priority="427" dxfId="727" operator="between">
      <formula>13.4</formula>
      <formula>15.9</formula>
    </cfRule>
  </conditionalFormatting>
  <conditionalFormatting sqref="F529">
    <cfRule type="cellIs" priority="426" dxfId="727" operator="between">
      <formula>11.4</formula>
      <formula>13.9</formula>
    </cfRule>
  </conditionalFormatting>
  <conditionalFormatting sqref="G529">
    <cfRule type="cellIs" priority="425" dxfId="727" operator="lessThan">
      <formula>12</formula>
    </cfRule>
  </conditionalFormatting>
  <conditionalFormatting sqref="C530">
    <cfRule type="cellIs" priority="424" dxfId="727" operator="greaterThanOrEqual">
      <formula>17.4</formula>
    </cfRule>
  </conditionalFormatting>
  <conditionalFormatting sqref="D530">
    <cfRule type="cellIs" priority="423" dxfId="727" operator="between">
      <formula>15.4</formula>
      <formula>17.9</formula>
    </cfRule>
  </conditionalFormatting>
  <conditionalFormatting sqref="E530">
    <cfRule type="cellIs" priority="422" dxfId="727" operator="between">
      <formula>13.4</formula>
      <formula>15.9</formula>
    </cfRule>
  </conditionalFormatting>
  <conditionalFormatting sqref="F530">
    <cfRule type="cellIs" priority="421" dxfId="727" operator="between">
      <formula>11.4</formula>
      <formula>13.9</formula>
    </cfRule>
  </conditionalFormatting>
  <conditionalFormatting sqref="G530">
    <cfRule type="cellIs" priority="420" dxfId="727" operator="lessThan">
      <formula>12</formula>
    </cfRule>
  </conditionalFormatting>
  <conditionalFormatting sqref="C531">
    <cfRule type="cellIs" priority="419" dxfId="727" operator="greaterThanOrEqual">
      <formula>17.4</formula>
    </cfRule>
  </conditionalFormatting>
  <conditionalFormatting sqref="D531">
    <cfRule type="cellIs" priority="418" dxfId="727" operator="between">
      <formula>15.4</formula>
      <formula>17.9</formula>
    </cfRule>
  </conditionalFormatting>
  <conditionalFormatting sqref="E531">
    <cfRule type="cellIs" priority="417" dxfId="727" operator="between">
      <formula>13.4</formula>
      <formula>15.9</formula>
    </cfRule>
  </conditionalFormatting>
  <conditionalFormatting sqref="F531">
    <cfRule type="cellIs" priority="416" dxfId="727" operator="between">
      <formula>11.4</formula>
      <formula>13.9</formula>
    </cfRule>
  </conditionalFormatting>
  <conditionalFormatting sqref="G531">
    <cfRule type="cellIs" priority="415" dxfId="727" operator="lessThan">
      <formula>12</formula>
    </cfRule>
  </conditionalFormatting>
  <conditionalFormatting sqref="C532">
    <cfRule type="cellIs" priority="414" dxfId="727" operator="greaterThanOrEqual">
      <formula>17.4</formula>
    </cfRule>
  </conditionalFormatting>
  <conditionalFormatting sqref="D532">
    <cfRule type="cellIs" priority="413" dxfId="727" operator="between">
      <formula>15.4</formula>
      <formula>17.9</formula>
    </cfRule>
  </conditionalFormatting>
  <conditionalFormatting sqref="E532">
    <cfRule type="cellIs" priority="412" dxfId="727" operator="between">
      <formula>13.4</formula>
      <formula>15.9</formula>
    </cfRule>
  </conditionalFormatting>
  <conditionalFormatting sqref="F532">
    <cfRule type="cellIs" priority="411" dxfId="727" operator="between">
      <formula>11.4</formula>
      <formula>13.9</formula>
    </cfRule>
  </conditionalFormatting>
  <conditionalFormatting sqref="G532">
    <cfRule type="cellIs" priority="410" dxfId="727" operator="lessThan">
      <formula>12</formula>
    </cfRule>
  </conditionalFormatting>
  <conditionalFormatting sqref="C533">
    <cfRule type="cellIs" priority="409" dxfId="727" operator="greaterThanOrEqual">
      <formula>17.4</formula>
    </cfRule>
  </conditionalFormatting>
  <conditionalFormatting sqref="D533">
    <cfRule type="cellIs" priority="408" dxfId="727" operator="between">
      <formula>15.4</formula>
      <formula>17.9</formula>
    </cfRule>
  </conditionalFormatting>
  <conditionalFormatting sqref="E533">
    <cfRule type="cellIs" priority="407" dxfId="727" operator="between">
      <formula>13.4</formula>
      <formula>15.9</formula>
    </cfRule>
  </conditionalFormatting>
  <conditionalFormatting sqref="F533">
    <cfRule type="cellIs" priority="406" dxfId="727" operator="between">
      <formula>11.4</formula>
      <formula>13.9</formula>
    </cfRule>
  </conditionalFormatting>
  <conditionalFormatting sqref="G533">
    <cfRule type="cellIs" priority="405" dxfId="727" operator="lessThan">
      <formula>12</formula>
    </cfRule>
  </conditionalFormatting>
  <conditionalFormatting sqref="D598:D602">
    <cfRule type="cellIs" priority="404" dxfId="727" operator="between">
      <formula>15.4</formula>
      <formula>17.9</formula>
    </cfRule>
  </conditionalFormatting>
  <conditionalFormatting sqref="E598:E602">
    <cfRule type="cellIs" priority="403" dxfId="727" operator="between">
      <formula>13.4</formula>
      <formula>15.9</formula>
    </cfRule>
  </conditionalFormatting>
  <conditionalFormatting sqref="F598:F602">
    <cfRule type="cellIs" priority="402" dxfId="727" operator="between">
      <formula>11.4</formula>
      <formula>13.9</formula>
    </cfRule>
  </conditionalFormatting>
  <conditionalFormatting sqref="G598:G602">
    <cfRule type="cellIs" priority="401" dxfId="727" operator="lessThan">
      <formula>12</formula>
    </cfRule>
  </conditionalFormatting>
  <conditionalFormatting sqref="C611:C618">
    <cfRule type="cellIs" priority="400" dxfId="727" operator="greaterThanOrEqual">
      <formula>17.4</formula>
    </cfRule>
  </conditionalFormatting>
  <conditionalFormatting sqref="D611:D618">
    <cfRule type="cellIs" priority="399" dxfId="727" operator="between">
      <formula>15.4</formula>
      <formula>17.9</formula>
    </cfRule>
  </conditionalFormatting>
  <conditionalFormatting sqref="E611:E618">
    <cfRule type="cellIs" priority="398" dxfId="727" operator="between">
      <formula>13.4</formula>
      <formula>15.9</formula>
    </cfRule>
  </conditionalFormatting>
  <conditionalFormatting sqref="F611:F618">
    <cfRule type="cellIs" priority="397" dxfId="727" operator="between">
      <formula>11.4</formula>
      <formula>13.9</formula>
    </cfRule>
  </conditionalFormatting>
  <conditionalFormatting sqref="G611:G614">
    <cfRule type="cellIs" priority="396" dxfId="727" operator="lessThan">
      <formula>12</formula>
    </cfRule>
  </conditionalFormatting>
  <conditionalFormatting sqref="C641:C645">
    <cfRule type="cellIs" priority="395" dxfId="727" operator="greaterThanOrEqual">
      <formula>17.4</formula>
    </cfRule>
  </conditionalFormatting>
  <conditionalFormatting sqref="D641:D645">
    <cfRule type="cellIs" priority="394" dxfId="727" operator="between">
      <formula>15.4</formula>
      <formula>17.9</formula>
    </cfRule>
  </conditionalFormatting>
  <conditionalFormatting sqref="E641:E645">
    <cfRule type="cellIs" priority="393" dxfId="727" operator="between">
      <formula>13.4</formula>
      <formula>15.9</formula>
    </cfRule>
  </conditionalFormatting>
  <conditionalFormatting sqref="F641:F645">
    <cfRule type="cellIs" priority="392" dxfId="727" operator="between">
      <formula>11.4</formula>
      <formula>13.9</formula>
    </cfRule>
  </conditionalFormatting>
  <conditionalFormatting sqref="G641:G645">
    <cfRule type="cellIs" priority="391" dxfId="727" operator="lessThan">
      <formula>12</formula>
    </cfRule>
  </conditionalFormatting>
  <conditionalFormatting sqref="C655:C658">
    <cfRule type="cellIs" priority="390" dxfId="727" operator="greaterThanOrEqual">
      <formula>17.4</formula>
    </cfRule>
  </conditionalFormatting>
  <conditionalFormatting sqref="D655:D658">
    <cfRule type="cellIs" priority="389" dxfId="727" operator="between">
      <formula>15.4</formula>
      <formula>17.9</formula>
    </cfRule>
  </conditionalFormatting>
  <conditionalFormatting sqref="E655:E658">
    <cfRule type="cellIs" priority="388" dxfId="727" operator="between">
      <formula>13.4</formula>
      <formula>15.9</formula>
    </cfRule>
  </conditionalFormatting>
  <conditionalFormatting sqref="F655:F658">
    <cfRule type="cellIs" priority="387" dxfId="727" operator="between">
      <formula>11.4</formula>
      <formula>13.9</formula>
    </cfRule>
  </conditionalFormatting>
  <conditionalFormatting sqref="G655:G658">
    <cfRule type="cellIs" priority="386" dxfId="727" operator="lessThan">
      <formula>12</formula>
    </cfRule>
  </conditionalFormatting>
  <conditionalFormatting sqref="C669 C671:C672">
    <cfRule type="cellIs" priority="385" dxfId="727" operator="greaterThanOrEqual">
      <formula>17.4</formula>
    </cfRule>
  </conditionalFormatting>
  <conditionalFormatting sqref="D669:D672">
    <cfRule type="cellIs" priority="384" dxfId="727" operator="between">
      <formula>15.4</formula>
      <formula>17.9</formula>
    </cfRule>
  </conditionalFormatting>
  <conditionalFormatting sqref="E669:E672">
    <cfRule type="cellIs" priority="383" dxfId="727" operator="between">
      <formula>13.4</formula>
      <formula>15.9</formula>
    </cfRule>
  </conditionalFormatting>
  <conditionalFormatting sqref="F669:F672">
    <cfRule type="cellIs" priority="382" dxfId="727" operator="between">
      <formula>11.4</formula>
      <formula>13.9</formula>
    </cfRule>
  </conditionalFormatting>
  <conditionalFormatting sqref="G669:G672">
    <cfRule type="cellIs" priority="381" dxfId="727" operator="lessThan">
      <formula>12</formula>
    </cfRule>
  </conditionalFormatting>
  <conditionalFormatting sqref="C602">
    <cfRule type="cellIs" priority="380" dxfId="728" operator="greaterThanOrEqual" stopIfTrue="1">
      <formula>17.4</formula>
    </cfRule>
  </conditionalFormatting>
  <conditionalFormatting sqref="D583:D587">
    <cfRule type="cellIs" priority="379" dxfId="727" operator="between">
      <formula>15.4</formula>
      <formula>17.9</formula>
    </cfRule>
  </conditionalFormatting>
  <conditionalFormatting sqref="E583:E587">
    <cfRule type="cellIs" priority="378" dxfId="727" operator="between">
      <formula>13.4</formula>
      <formula>15.9</formula>
    </cfRule>
  </conditionalFormatting>
  <conditionalFormatting sqref="F583:F587">
    <cfRule type="cellIs" priority="377" dxfId="727" operator="between">
      <formula>11.4</formula>
      <formula>13.9</formula>
    </cfRule>
  </conditionalFormatting>
  <conditionalFormatting sqref="G583:G587">
    <cfRule type="cellIs" priority="376" dxfId="727" operator="lessThan">
      <formula>12</formula>
    </cfRule>
  </conditionalFormatting>
  <conditionalFormatting sqref="C583">
    <cfRule type="cellIs" priority="375" dxfId="728" operator="greaterThanOrEqual" stopIfTrue="1">
      <formula>17.4</formula>
    </cfRule>
  </conditionalFormatting>
  <conditionalFormatting sqref="C585">
    <cfRule type="cellIs" priority="374" dxfId="728" operator="greaterThanOrEqual" stopIfTrue="1">
      <formula>17.4</formula>
    </cfRule>
  </conditionalFormatting>
  <conditionalFormatting sqref="C586:C587">
    <cfRule type="cellIs" priority="373" dxfId="728" operator="greaterThanOrEqual" stopIfTrue="1">
      <formula>17.4</formula>
    </cfRule>
  </conditionalFormatting>
  <conditionalFormatting sqref="C600:C601">
    <cfRule type="cellIs" priority="372" dxfId="728" operator="greaterThanOrEqual" stopIfTrue="1">
      <formula>17.4</formula>
    </cfRule>
  </conditionalFormatting>
  <conditionalFormatting sqref="C598">
    <cfRule type="cellIs" priority="366" dxfId="727" operator="greaterThanOrEqual">
      <formula>17.4</formula>
    </cfRule>
  </conditionalFormatting>
  <conditionalFormatting sqref="C584">
    <cfRule type="cellIs" priority="365" dxfId="728" operator="greaterThanOrEqual" stopIfTrue="1">
      <formula>17.4</formula>
    </cfRule>
  </conditionalFormatting>
  <conditionalFormatting sqref="C629">
    <cfRule type="cellIs" priority="359" dxfId="727" operator="greaterThanOrEqual">
      <formula>17.4</formula>
    </cfRule>
  </conditionalFormatting>
  <conditionalFormatting sqref="D629">
    <cfRule type="cellIs" priority="358" dxfId="727" operator="between">
      <formula>15.4</formula>
      <formula>17.9</formula>
    </cfRule>
  </conditionalFormatting>
  <conditionalFormatting sqref="E629">
    <cfRule type="cellIs" priority="357" dxfId="727" operator="between">
      <formula>13.4</formula>
      <formula>15.9</formula>
    </cfRule>
  </conditionalFormatting>
  <conditionalFormatting sqref="F629">
    <cfRule type="cellIs" priority="356" dxfId="727" operator="between">
      <formula>11.4</formula>
      <formula>13.9</formula>
    </cfRule>
  </conditionalFormatting>
  <conditionalFormatting sqref="G629">
    <cfRule type="cellIs" priority="355" dxfId="727" operator="lessThan">
      <formula>12</formula>
    </cfRule>
  </conditionalFormatting>
  <conditionalFormatting sqref="D630">
    <cfRule type="cellIs" priority="353" dxfId="727" operator="between">
      <formula>15.4</formula>
      <formula>17.9</formula>
    </cfRule>
  </conditionalFormatting>
  <conditionalFormatting sqref="E630">
    <cfRule type="cellIs" priority="352" dxfId="727" operator="between">
      <formula>13.4</formula>
      <formula>15.9</formula>
    </cfRule>
  </conditionalFormatting>
  <conditionalFormatting sqref="F630">
    <cfRule type="cellIs" priority="351" dxfId="727" operator="between">
      <formula>11.4</formula>
      <formula>13.9</formula>
    </cfRule>
  </conditionalFormatting>
  <conditionalFormatting sqref="G630">
    <cfRule type="cellIs" priority="350" dxfId="727" operator="lessThan">
      <formula>12</formula>
    </cfRule>
  </conditionalFormatting>
  <conditionalFormatting sqref="C631">
    <cfRule type="cellIs" priority="349" dxfId="727" operator="greaterThanOrEqual">
      <formula>17.4</formula>
    </cfRule>
  </conditionalFormatting>
  <conditionalFormatting sqref="D631">
    <cfRule type="cellIs" priority="348" dxfId="727" operator="between">
      <formula>15.4</formula>
      <formula>17.9</formula>
    </cfRule>
  </conditionalFormatting>
  <conditionalFormatting sqref="E631">
    <cfRule type="cellIs" priority="347" dxfId="727" operator="between">
      <formula>13.4</formula>
      <formula>15.9</formula>
    </cfRule>
  </conditionalFormatting>
  <conditionalFormatting sqref="F631">
    <cfRule type="cellIs" priority="346" dxfId="727" operator="between">
      <formula>11.4</formula>
      <formula>13.9</formula>
    </cfRule>
  </conditionalFormatting>
  <conditionalFormatting sqref="G631">
    <cfRule type="cellIs" priority="345" dxfId="727" operator="lessThan">
      <formula>12</formula>
    </cfRule>
  </conditionalFormatting>
  <conditionalFormatting sqref="C632">
    <cfRule type="cellIs" priority="344" dxfId="727" operator="greaterThanOrEqual">
      <formula>17.4</formula>
    </cfRule>
  </conditionalFormatting>
  <conditionalFormatting sqref="D632">
    <cfRule type="cellIs" priority="343" dxfId="727" operator="between">
      <formula>15.4</formula>
      <formula>17.9</formula>
    </cfRule>
  </conditionalFormatting>
  <conditionalFormatting sqref="E632">
    <cfRule type="cellIs" priority="342" dxfId="727" operator="between">
      <formula>13.4</formula>
      <formula>15.9</formula>
    </cfRule>
  </conditionalFormatting>
  <conditionalFormatting sqref="F632">
    <cfRule type="cellIs" priority="341" dxfId="727" operator="between">
      <formula>11.4</formula>
      <formula>13.9</formula>
    </cfRule>
  </conditionalFormatting>
  <conditionalFormatting sqref="G632">
    <cfRule type="cellIs" priority="340" dxfId="727" operator="lessThan">
      <formula>12</formula>
    </cfRule>
  </conditionalFormatting>
  <conditionalFormatting sqref="D697:D698 D700:D701">
    <cfRule type="cellIs" priority="339" dxfId="727" operator="between">
      <formula>15.4</formula>
      <formula>17.9</formula>
    </cfRule>
  </conditionalFormatting>
  <conditionalFormatting sqref="E697:E698 E700:E701">
    <cfRule type="cellIs" priority="338" dxfId="727" operator="between">
      <formula>13.4</formula>
      <formula>15.9</formula>
    </cfRule>
  </conditionalFormatting>
  <conditionalFormatting sqref="F697:F698 F700:F701">
    <cfRule type="cellIs" priority="337" dxfId="727" operator="between">
      <formula>11.4</formula>
      <formula>13.9</formula>
    </cfRule>
  </conditionalFormatting>
  <conditionalFormatting sqref="G697:G698 G700:G701">
    <cfRule type="cellIs" priority="336" dxfId="727" operator="lessThan">
      <formula>12</formula>
    </cfRule>
  </conditionalFormatting>
  <conditionalFormatting sqref="C710 C712:C713">
    <cfRule type="cellIs" priority="335" dxfId="727" operator="greaterThanOrEqual">
      <formula>17.4</formula>
    </cfRule>
  </conditionalFormatting>
  <conditionalFormatting sqref="D710:D713">
    <cfRule type="cellIs" priority="334" dxfId="727" operator="between">
      <formula>15.4</formula>
      <formula>17.9</formula>
    </cfRule>
  </conditionalFormatting>
  <conditionalFormatting sqref="E710:E713">
    <cfRule type="cellIs" priority="333" dxfId="727" operator="between">
      <formula>13.4</formula>
      <formula>15.9</formula>
    </cfRule>
  </conditionalFormatting>
  <conditionalFormatting sqref="F710:F713">
    <cfRule type="cellIs" priority="332" dxfId="727" operator="between">
      <formula>11.4</formula>
      <formula>13.9</formula>
    </cfRule>
  </conditionalFormatting>
  <conditionalFormatting sqref="G710:G713">
    <cfRule type="cellIs" priority="331" dxfId="727" operator="lessThan">
      <formula>12</formula>
    </cfRule>
  </conditionalFormatting>
  <conditionalFormatting sqref="C737:C738 C740">
    <cfRule type="cellIs" priority="330" dxfId="727" operator="greaterThanOrEqual">
      <formula>17.4</formula>
    </cfRule>
  </conditionalFormatting>
  <conditionalFormatting sqref="D737:D738 D740:D741">
    <cfRule type="cellIs" priority="329" dxfId="727" operator="between">
      <formula>15.4</formula>
      <formula>17.9</formula>
    </cfRule>
  </conditionalFormatting>
  <conditionalFormatting sqref="E737:E738 E740:E741">
    <cfRule type="cellIs" priority="328" dxfId="727" operator="between">
      <formula>13.4</formula>
      <formula>15.9</formula>
    </cfRule>
  </conditionalFormatting>
  <conditionalFormatting sqref="F737:F738 F740:F741">
    <cfRule type="cellIs" priority="327" dxfId="727" operator="between">
      <formula>11.4</formula>
      <formula>13.9</formula>
    </cfRule>
  </conditionalFormatting>
  <conditionalFormatting sqref="G737:G738 G740:G741">
    <cfRule type="cellIs" priority="326" dxfId="727" operator="lessThan">
      <formula>12</formula>
    </cfRule>
  </conditionalFormatting>
  <conditionalFormatting sqref="C751:C754">
    <cfRule type="cellIs" priority="325" dxfId="727" operator="greaterThanOrEqual">
      <formula>17.4</formula>
    </cfRule>
  </conditionalFormatting>
  <conditionalFormatting sqref="D750:D754">
    <cfRule type="cellIs" priority="324" dxfId="727" operator="between">
      <formula>15.4</formula>
      <formula>17.9</formula>
    </cfRule>
  </conditionalFormatting>
  <conditionalFormatting sqref="E750:E754">
    <cfRule type="cellIs" priority="323" dxfId="727" operator="between">
      <formula>13.4</formula>
      <formula>15.9</formula>
    </cfRule>
  </conditionalFormatting>
  <conditionalFormatting sqref="F750:F754">
    <cfRule type="cellIs" priority="322" dxfId="727" operator="between">
      <formula>11.4</formula>
      <formula>13.9</formula>
    </cfRule>
  </conditionalFormatting>
  <conditionalFormatting sqref="G750:G754">
    <cfRule type="cellIs" priority="321" dxfId="727" operator="lessThan">
      <formula>12</formula>
    </cfRule>
  </conditionalFormatting>
  <conditionalFormatting sqref="C767:C769 C771">
    <cfRule type="cellIs" priority="320" dxfId="727" operator="greaterThanOrEqual">
      <formula>17.4</formula>
    </cfRule>
  </conditionalFormatting>
  <conditionalFormatting sqref="D767:D769 D771">
    <cfRule type="cellIs" priority="319" dxfId="727" operator="between">
      <formula>15.4</formula>
      <formula>17.9</formula>
    </cfRule>
  </conditionalFormatting>
  <conditionalFormatting sqref="E767:E769 E771">
    <cfRule type="cellIs" priority="318" dxfId="727" operator="between">
      <formula>13.4</formula>
      <formula>15.9</formula>
    </cfRule>
  </conditionalFormatting>
  <conditionalFormatting sqref="F767:F769 F771">
    <cfRule type="cellIs" priority="317" dxfId="727" operator="between">
      <formula>11.4</formula>
      <formula>13.9</formula>
    </cfRule>
  </conditionalFormatting>
  <conditionalFormatting sqref="G767:G769 G771">
    <cfRule type="cellIs" priority="316" dxfId="727" operator="lessThan">
      <formula>12</formula>
    </cfRule>
  </conditionalFormatting>
  <conditionalFormatting sqref="D678:D682">
    <cfRule type="cellIs" priority="314" dxfId="727" operator="between">
      <formula>15.4</formula>
      <formula>17.9</formula>
    </cfRule>
  </conditionalFormatting>
  <conditionalFormatting sqref="E678:E682">
    <cfRule type="cellIs" priority="313" dxfId="727" operator="between">
      <formula>13.4</formula>
      <formula>15.9</formula>
    </cfRule>
  </conditionalFormatting>
  <conditionalFormatting sqref="F678:F682">
    <cfRule type="cellIs" priority="312" dxfId="727" operator="between">
      <formula>11.4</formula>
      <formula>13.9</formula>
    </cfRule>
  </conditionalFormatting>
  <conditionalFormatting sqref="G678:G682">
    <cfRule type="cellIs" priority="311" dxfId="727" operator="lessThan">
      <formula>12</formula>
    </cfRule>
  </conditionalFormatting>
  <conditionalFormatting sqref="C678">
    <cfRule type="cellIs" priority="310" dxfId="728" operator="greaterThanOrEqual" stopIfTrue="1">
      <formula>17.4</formula>
    </cfRule>
  </conditionalFormatting>
  <conditionalFormatting sqref="C680">
    <cfRule type="cellIs" priority="309" dxfId="728" operator="greaterThanOrEqual" stopIfTrue="1">
      <formula>17.4</formula>
    </cfRule>
  </conditionalFormatting>
  <conditionalFormatting sqref="C681:C682">
    <cfRule type="cellIs" priority="308" dxfId="728" operator="greaterThanOrEqual" stopIfTrue="1">
      <formula>17.4</formula>
    </cfRule>
  </conditionalFormatting>
  <conditionalFormatting sqref="C698 C700">
    <cfRule type="cellIs" priority="307" dxfId="728" operator="greaterThanOrEqual" stopIfTrue="1">
      <formula>17.4</formula>
    </cfRule>
  </conditionalFormatting>
  <conditionalFormatting sqref="D714">
    <cfRule type="cellIs" priority="306" dxfId="727" operator="between">
      <formula>15.4</formula>
      <formula>17.9</formula>
    </cfRule>
  </conditionalFormatting>
  <conditionalFormatting sqref="E714">
    <cfRule type="cellIs" priority="305" dxfId="727" operator="between">
      <formula>13.4</formula>
      <formula>15.9</formula>
    </cfRule>
  </conditionalFormatting>
  <conditionalFormatting sqref="F714">
    <cfRule type="cellIs" priority="304" dxfId="727" operator="between">
      <formula>11.4</formula>
      <formula>13.9</formula>
    </cfRule>
  </conditionalFormatting>
  <conditionalFormatting sqref="G714">
    <cfRule type="cellIs" priority="303" dxfId="727" operator="lessThan">
      <formula>12</formula>
    </cfRule>
  </conditionalFormatting>
  <conditionalFormatting sqref="C714">
    <cfRule type="cellIs" priority="302" dxfId="728" operator="greaterThanOrEqual" stopIfTrue="1">
      <formula>17.4</formula>
    </cfRule>
  </conditionalFormatting>
  <conditionalFormatting sqref="C697">
    <cfRule type="cellIs" priority="301" dxfId="727" operator="greaterThanOrEqual">
      <formula>17.4</formula>
    </cfRule>
  </conditionalFormatting>
  <conditionalFormatting sqref="C724">
    <cfRule type="cellIs" priority="299" dxfId="727" operator="greaterThanOrEqual">
      <formula>17.4</formula>
    </cfRule>
  </conditionalFormatting>
  <conditionalFormatting sqref="D724">
    <cfRule type="cellIs" priority="298" dxfId="727" operator="between">
      <formula>15.4</formula>
      <formula>17.9</formula>
    </cfRule>
  </conditionalFormatting>
  <conditionalFormatting sqref="E724">
    <cfRule type="cellIs" priority="297" dxfId="727" operator="between">
      <formula>13.4</formula>
      <formula>15.9</formula>
    </cfRule>
  </conditionalFormatting>
  <conditionalFormatting sqref="F724">
    <cfRule type="cellIs" priority="296" dxfId="727" operator="between">
      <formula>11.4</formula>
      <formula>13.9</formula>
    </cfRule>
  </conditionalFormatting>
  <conditionalFormatting sqref="G724">
    <cfRule type="cellIs" priority="295" dxfId="727" operator="lessThan">
      <formula>12</formula>
    </cfRule>
  </conditionalFormatting>
  <conditionalFormatting sqref="C725">
    <cfRule type="cellIs" priority="294" dxfId="727" operator="greaterThanOrEqual">
      <formula>17.4</formula>
    </cfRule>
  </conditionalFormatting>
  <conditionalFormatting sqref="D725">
    <cfRule type="cellIs" priority="293" dxfId="727" operator="between">
      <formula>15.4</formula>
      <formula>17.9</formula>
    </cfRule>
  </conditionalFormatting>
  <conditionalFormatting sqref="E725">
    <cfRule type="cellIs" priority="292" dxfId="727" operator="between">
      <formula>13.4</formula>
      <formula>15.9</formula>
    </cfRule>
  </conditionalFormatting>
  <conditionalFormatting sqref="F725">
    <cfRule type="cellIs" priority="291" dxfId="727" operator="between">
      <formula>11.4</formula>
      <formula>13.9</formula>
    </cfRule>
  </conditionalFormatting>
  <conditionalFormatting sqref="G725">
    <cfRule type="cellIs" priority="290" dxfId="727" operator="lessThan">
      <formula>12</formula>
    </cfRule>
  </conditionalFormatting>
  <conditionalFormatting sqref="C726">
    <cfRule type="cellIs" priority="289" dxfId="727" operator="greaterThanOrEqual">
      <formula>17.4</formula>
    </cfRule>
  </conditionalFormatting>
  <conditionalFormatting sqref="D726">
    <cfRule type="cellIs" priority="288" dxfId="727" operator="between">
      <formula>15.4</formula>
      <formula>17.9</formula>
    </cfRule>
  </conditionalFormatting>
  <conditionalFormatting sqref="E726">
    <cfRule type="cellIs" priority="287" dxfId="727" operator="between">
      <formula>13.4</formula>
      <formula>15.9</formula>
    </cfRule>
  </conditionalFormatting>
  <conditionalFormatting sqref="F726">
    <cfRule type="cellIs" priority="286" dxfId="727" operator="between">
      <formula>11.4</formula>
      <formula>13.9</formula>
    </cfRule>
  </conditionalFormatting>
  <conditionalFormatting sqref="G726">
    <cfRule type="cellIs" priority="285" dxfId="727" operator="lessThan">
      <formula>12</formula>
    </cfRule>
  </conditionalFormatting>
  <conditionalFormatting sqref="C727">
    <cfRule type="cellIs" priority="284" dxfId="727" operator="greaterThanOrEqual">
      <formula>17.4</formula>
    </cfRule>
  </conditionalFormatting>
  <conditionalFormatting sqref="D727">
    <cfRule type="cellIs" priority="283" dxfId="727" operator="between">
      <formula>15.4</formula>
      <formula>17.9</formula>
    </cfRule>
  </conditionalFormatting>
  <conditionalFormatting sqref="E727">
    <cfRule type="cellIs" priority="282" dxfId="727" operator="between">
      <formula>13.4</formula>
      <formula>15.9</formula>
    </cfRule>
  </conditionalFormatting>
  <conditionalFormatting sqref="F727">
    <cfRule type="cellIs" priority="281" dxfId="727" operator="between">
      <formula>11.4</formula>
      <formula>13.9</formula>
    </cfRule>
  </conditionalFormatting>
  <conditionalFormatting sqref="G727">
    <cfRule type="cellIs" priority="280" dxfId="727" operator="lessThan">
      <formula>12</formula>
    </cfRule>
  </conditionalFormatting>
  <conditionalFormatting sqref="C728">
    <cfRule type="cellIs" priority="279" dxfId="727" operator="greaterThanOrEqual">
      <formula>17.4</formula>
    </cfRule>
  </conditionalFormatting>
  <conditionalFormatting sqref="D728">
    <cfRule type="cellIs" priority="278" dxfId="727" operator="between">
      <formula>15.4</formula>
      <formula>17.9</formula>
    </cfRule>
  </conditionalFormatting>
  <conditionalFormatting sqref="E728">
    <cfRule type="cellIs" priority="277" dxfId="727" operator="between">
      <formula>13.4</formula>
      <formula>15.9</formula>
    </cfRule>
  </conditionalFormatting>
  <conditionalFormatting sqref="F728">
    <cfRule type="cellIs" priority="276" dxfId="727" operator="between">
      <formula>11.4</formula>
      <formula>13.9</formula>
    </cfRule>
  </conditionalFormatting>
  <conditionalFormatting sqref="G728">
    <cfRule type="cellIs" priority="275" dxfId="727" operator="lessThan">
      <formula>12</formula>
    </cfRule>
  </conditionalFormatting>
  <conditionalFormatting sqref="D793:D797">
    <cfRule type="cellIs" priority="274" dxfId="727" operator="between">
      <formula>15.4</formula>
      <formula>17.9</formula>
    </cfRule>
  </conditionalFormatting>
  <conditionalFormatting sqref="E793:E797">
    <cfRule type="cellIs" priority="273" dxfId="727" operator="between">
      <formula>13.4</formula>
      <formula>15.9</formula>
    </cfRule>
  </conditionalFormatting>
  <conditionalFormatting sqref="F793:F797">
    <cfRule type="cellIs" priority="272" dxfId="727" operator="between">
      <formula>11.4</formula>
      <formula>13.9</formula>
    </cfRule>
  </conditionalFormatting>
  <conditionalFormatting sqref="G793:G797">
    <cfRule type="cellIs" priority="271" dxfId="727" operator="lessThan">
      <formula>12</formula>
    </cfRule>
  </conditionalFormatting>
  <conditionalFormatting sqref="C806:C809">
    <cfRule type="cellIs" priority="270" dxfId="727" operator="greaterThanOrEqual">
      <formula>17.4</formula>
    </cfRule>
  </conditionalFormatting>
  <conditionalFormatting sqref="D806:D809">
    <cfRule type="cellIs" priority="269" dxfId="727" operator="between">
      <formula>15.4</formula>
      <formula>17.9</formula>
    </cfRule>
  </conditionalFormatting>
  <conditionalFormatting sqref="E806:E809">
    <cfRule type="cellIs" priority="268" dxfId="727" operator="between">
      <formula>13.4</formula>
      <formula>15.9</formula>
    </cfRule>
  </conditionalFormatting>
  <conditionalFormatting sqref="F806:F809">
    <cfRule type="cellIs" priority="267" dxfId="727" operator="between">
      <formula>11.4</formula>
      <formula>13.9</formula>
    </cfRule>
  </conditionalFormatting>
  <conditionalFormatting sqref="G806:G809">
    <cfRule type="cellIs" priority="266" dxfId="727" operator="lessThan">
      <formula>12</formula>
    </cfRule>
  </conditionalFormatting>
  <conditionalFormatting sqref="C836:C840">
    <cfRule type="cellIs" priority="265" dxfId="727" operator="greaterThanOrEqual">
      <formula>17.4</formula>
    </cfRule>
  </conditionalFormatting>
  <conditionalFormatting sqref="D836:D840">
    <cfRule type="cellIs" priority="264" dxfId="727" operator="between">
      <formula>15.4</formula>
      <formula>17.9</formula>
    </cfRule>
  </conditionalFormatting>
  <conditionalFormatting sqref="E836:E840">
    <cfRule type="cellIs" priority="263" dxfId="727" operator="between">
      <formula>13.4</formula>
      <formula>15.9</formula>
    </cfRule>
  </conditionalFormatting>
  <conditionalFormatting sqref="F836:F840">
    <cfRule type="cellIs" priority="262" dxfId="727" operator="between">
      <formula>11.4</formula>
      <formula>13.9</formula>
    </cfRule>
  </conditionalFormatting>
  <conditionalFormatting sqref="G836:G840">
    <cfRule type="cellIs" priority="261" dxfId="727" operator="lessThan">
      <formula>12</formula>
    </cfRule>
  </conditionalFormatting>
  <conditionalFormatting sqref="C849:C853">
    <cfRule type="cellIs" priority="260" dxfId="727" operator="greaterThanOrEqual">
      <formula>17.4</formula>
    </cfRule>
  </conditionalFormatting>
  <conditionalFormatting sqref="D849:D853">
    <cfRule type="cellIs" priority="259" dxfId="727" operator="between">
      <formula>15.4</formula>
      <formula>17.9</formula>
    </cfRule>
  </conditionalFormatting>
  <conditionalFormatting sqref="E849:E853">
    <cfRule type="cellIs" priority="258" dxfId="727" operator="between">
      <formula>13.4</formula>
      <formula>15.9</formula>
    </cfRule>
  </conditionalFormatting>
  <conditionalFormatting sqref="F849:F853">
    <cfRule type="cellIs" priority="257" dxfId="727" operator="between">
      <formula>11.4</formula>
      <formula>13.9</formula>
    </cfRule>
  </conditionalFormatting>
  <conditionalFormatting sqref="C862:C866">
    <cfRule type="cellIs" priority="255" dxfId="727" operator="greaterThanOrEqual">
      <formula>17.4</formula>
    </cfRule>
  </conditionalFormatting>
  <conditionalFormatting sqref="D862:D866">
    <cfRule type="cellIs" priority="254" dxfId="727" operator="between">
      <formula>15.4</formula>
      <formula>17.9</formula>
    </cfRule>
  </conditionalFormatting>
  <conditionalFormatting sqref="E862:E866">
    <cfRule type="cellIs" priority="253" dxfId="727" operator="between">
      <formula>13.4</formula>
      <formula>15.9</formula>
    </cfRule>
  </conditionalFormatting>
  <conditionalFormatting sqref="F862:F866">
    <cfRule type="cellIs" priority="252" dxfId="727" operator="between">
      <formula>11.4</formula>
      <formula>13.9</formula>
    </cfRule>
  </conditionalFormatting>
  <conditionalFormatting sqref="C797">
    <cfRule type="cellIs" priority="250" dxfId="728" operator="greaterThanOrEqual" stopIfTrue="1">
      <formula>17.4</formula>
    </cfRule>
  </conditionalFormatting>
  <conditionalFormatting sqref="D777:D781">
    <cfRule type="cellIs" priority="249" dxfId="727" operator="between">
      <formula>15.4</formula>
      <formula>17.9</formula>
    </cfRule>
  </conditionalFormatting>
  <conditionalFormatting sqref="E777:E781">
    <cfRule type="cellIs" priority="248" dxfId="727" operator="between">
      <formula>13.4</formula>
      <formula>15.9</formula>
    </cfRule>
  </conditionalFormatting>
  <conditionalFormatting sqref="F777:F781">
    <cfRule type="cellIs" priority="247" dxfId="727" operator="between">
      <formula>11.4</formula>
      <formula>13.9</formula>
    </cfRule>
  </conditionalFormatting>
  <conditionalFormatting sqref="G777 G780:G781">
    <cfRule type="cellIs" priority="246" dxfId="727" operator="lessThan">
      <formula>12</formula>
    </cfRule>
  </conditionalFormatting>
  <conditionalFormatting sqref="C777">
    <cfRule type="cellIs" priority="245" dxfId="728" operator="greaterThanOrEqual" stopIfTrue="1">
      <formula>17.4</formula>
    </cfRule>
  </conditionalFormatting>
  <conditionalFormatting sqref="C779">
    <cfRule type="cellIs" priority="244" dxfId="728" operator="greaterThanOrEqual" stopIfTrue="1">
      <formula>17.4</formula>
    </cfRule>
  </conditionalFormatting>
  <conditionalFormatting sqref="C780:C781">
    <cfRule type="cellIs" priority="243" dxfId="728" operator="greaterThanOrEqual" stopIfTrue="1">
      <formula>17.4</formula>
    </cfRule>
  </conditionalFormatting>
  <conditionalFormatting sqref="C795:C796">
    <cfRule type="cellIs" priority="242" dxfId="728" operator="greaterThanOrEqual" stopIfTrue="1">
      <formula>17.4</formula>
    </cfRule>
  </conditionalFormatting>
  <conditionalFormatting sqref="C793">
    <cfRule type="cellIs" priority="236" dxfId="727" operator="greaterThanOrEqual">
      <formula>17.4</formula>
    </cfRule>
  </conditionalFormatting>
  <conditionalFormatting sqref="C778">
    <cfRule type="cellIs" priority="235" dxfId="728" operator="greaterThanOrEqual" stopIfTrue="1">
      <formula>17.4</formula>
    </cfRule>
  </conditionalFormatting>
  <conditionalFormatting sqref="C820">
    <cfRule type="cellIs" priority="229" dxfId="727" operator="greaterThanOrEqual">
      <formula>17.4</formula>
    </cfRule>
  </conditionalFormatting>
  <conditionalFormatting sqref="D820">
    <cfRule type="cellIs" priority="228" dxfId="727" operator="between">
      <formula>15.4</formula>
      <formula>17.9</formula>
    </cfRule>
  </conditionalFormatting>
  <conditionalFormatting sqref="E820">
    <cfRule type="cellIs" priority="227" dxfId="727" operator="between">
      <formula>13.4</formula>
      <formula>15.9</formula>
    </cfRule>
  </conditionalFormatting>
  <conditionalFormatting sqref="F820">
    <cfRule type="cellIs" priority="226" dxfId="727" operator="between">
      <formula>11.4</formula>
      <formula>13.9</formula>
    </cfRule>
  </conditionalFormatting>
  <conditionalFormatting sqref="G820">
    <cfRule type="cellIs" priority="225" dxfId="727" operator="lessThan">
      <formula>12</formula>
    </cfRule>
  </conditionalFormatting>
  <conditionalFormatting sqref="D821">
    <cfRule type="cellIs" priority="223" dxfId="727" operator="between">
      <formula>15.4</formula>
      <formula>17.9</formula>
    </cfRule>
  </conditionalFormatting>
  <conditionalFormatting sqref="E821">
    <cfRule type="cellIs" priority="222" dxfId="727" operator="between">
      <formula>13.4</formula>
      <formula>15.9</formula>
    </cfRule>
  </conditionalFormatting>
  <conditionalFormatting sqref="F821">
    <cfRule type="cellIs" priority="221" dxfId="727" operator="between">
      <formula>11.4</formula>
      <formula>13.9</formula>
    </cfRule>
  </conditionalFormatting>
  <conditionalFormatting sqref="G821">
    <cfRule type="cellIs" priority="220" dxfId="727" operator="lessThan">
      <formula>12</formula>
    </cfRule>
  </conditionalFormatting>
  <conditionalFormatting sqref="C822">
    <cfRule type="cellIs" priority="219" dxfId="727" operator="greaterThanOrEqual">
      <formula>17.4</formula>
    </cfRule>
  </conditionalFormatting>
  <conditionalFormatting sqref="D822">
    <cfRule type="cellIs" priority="218" dxfId="727" operator="between">
      <formula>15.4</formula>
      <formula>17.9</formula>
    </cfRule>
  </conditionalFormatting>
  <conditionalFormatting sqref="E822">
    <cfRule type="cellIs" priority="217" dxfId="727" operator="between">
      <formula>13.4</formula>
      <formula>15.9</formula>
    </cfRule>
  </conditionalFormatting>
  <conditionalFormatting sqref="F822">
    <cfRule type="cellIs" priority="216" dxfId="727" operator="between">
      <formula>11.4</formula>
      <formula>13.9</formula>
    </cfRule>
  </conditionalFormatting>
  <conditionalFormatting sqref="G822">
    <cfRule type="cellIs" priority="215" dxfId="727" operator="lessThan">
      <formula>12</formula>
    </cfRule>
  </conditionalFormatting>
  <conditionalFormatting sqref="C823">
    <cfRule type="cellIs" priority="214" dxfId="727" operator="greaterThanOrEqual">
      <formula>17.4</formula>
    </cfRule>
  </conditionalFormatting>
  <conditionalFormatting sqref="D823">
    <cfRule type="cellIs" priority="213" dxfId="727" operator="between">
      <formula>15.4</formula>
      <formula>17.9</formula>
    </cfRule>
  </conditionalFormatting>
  <conditionalFormatting sqref="E823">
    <cfRule type="cellIs" priority="212" dxfId="727" operator="between">
      <formula>13.4</formula>
      <formula>15.9</formula>
    </cfRule>
  </conditionalFormatting>
  <conditionalFormatting sqref="F823">
    <cfRule type="cellIs" priority="211" dxfId="727" operator="between">
      <formula>11.4</formula>
      <formula>13.9</formula>
    </cfRule>
  </conditionalFormatting>
  <conditionalFormatting sqref="G823">
    <cfRule type="cellIs" priority="210" dxfId="727" operator="lessThan">
      <formula>12</formula>
    </cfRule>
  </conditionalFormatting>
  <conditionalFormatting sqref="D887:D891">
    <cfRule type="cellIs" priority="209" dxfId="727" operator="between">
      <formula>15.4</formula>
      <formula>17.9</formula>
    </cfRule>
  </conditionalFormatting>
  <conditionalFormatting sqref="E887:E891">
    <cfRule type="cellIs" priority="208" dxfId="727" operator="between">
      <formula>13.4</formula>
      <formula>15.9</formula>
    </cfRule>
  </conditionalFormatting>
  <conditionalFormatting sqref="F887:F891">
    <cfRule type="cellIs" priority="207" dxfId="727" operator="between">
      <formula>11.4</formula>
      <formula>13.9</formula>
    </cfRule>
  </conditionalFormatting>
  <conditionalFormatting sqref="C900:C903">
    <cfRule type="cellIs" priority="205" dxfId="727" operator="greaterThanOrEqual">
      <formula>17.4</formula>
    </cfRule>
  </conditionalFormatting>
  <conditionalFormatting sqref="D900:D903">
    <cfRule type="cellIs" priority="204" dxfId="727" operator="between">
      <formula>15.4</formula>
      <formula>17.9</formula>
    </cfRule>
  </conditionalFormatting>
  <conditionalFormatting sqref="E900:E903">
    <cfRule type="cellIs" priority="203" dxfId="727" operator="between">
      <formula>13.4</formula>
      <formula>15.9</formula>
    </cfRule>
  </conditionalFormatting>
  <conditionalFormatting sqref="F900:F903">
    <cfRule type="cellIs" priority="202" dxfId="727" operator="between">
      <formula>11.4</formula>
      <formula>13.9</formula>
    </cfRule>
  </conditionalFormatting>
  <conditionalFormatting sqref="C926:C930">
    <cfRule type="cellIs" priority="200" dxfId="727" operator="greaterThanOrEqual">
      <formula>17.4</formula>
    </cfRule>
  </conditionalFormatting>
  <conditionalFormatting sqref="D926:D930">
    <cfRule type="cellIs" priority="199" dxfId="727" operator="between">
      <formula>15.4</formula>
      <formula>17.9</formula>
    </cfRule>
  </conditionalFormatting>
  <conditionalFormatting sqref="E926:E930">
    <cfRule type="cellIs" priority="198" dxfId="727" operator="between">
      <formula>13.4</formula>
      <formula>15.9</formula>
    </cfRule>
  </conditionalFormatting>
  <conditionalFormatting sqref="F926:F930">
    <cfRule type="cellIs" priority="197" dxfId="727" operator="between">
      <formula>11.4</formula>
      <formula>13.9</formula>
    </cfRule>
  </conditionalFormatting>
  <conditionalFormatting sqref="C939:C943">
    <cfRule type="cellIs" priority="195" dxfId="727" operator="greaterThanOrEqual">
      <formula>17.4</formula>
    </cfRule>
  </conditionalFormatting>
  <conditionalFormatting sqref="D939:D943">
    <cfRule type="cellIs" priority="194" dxfId="727" operator="between">
      <formula>15.4</formula>
      <formula>17.9</formula>
    </cfRule>
  </conditionalFormatting>
  <conditionalFormatting sqref="E939:E943">
    <cfRule type="cellIs" priority="193" dxfId="727" operator="between">
      <formula>13.4</formula>
      <formula>15.9</formula>
    </cfRule>
  </conditionalFormatting>
  <conditionalFormatting sqref="F939:F943">
    <cfRule type="cellIs" priority="192" dxfId="727" operator="between">
      <formula>11.4</formula>
      <formula>13.9</formula>
    </cfRule>
  </conditionalFormatting>
  <conditionalFormatting sqref="C952:C956">
    <cfRule type="cellIs" priority="190" dxfId="727" operator="greaterThanOrEqual">
      <formula>17.4</formula>
    </cfRule>
  </conditionalFormatting>
  <conditionalFormatting sqref="D952:D956">
    <cfRule type="cellIs" priority="189" dxfId="727" operator="between">
      <formula>15.4</formula>
      <formula>17.9</formula>
    </cfRule>
  </conditionalFormatting>
  <conditionalFormatting sqref="E952:E956">
    <cfRule type="cellIs" priority="188" dxfId="727" operator="between">
      <formula>13.4</formula>
      <formula>15.9</formula>
    </cfRule>
  </conditionalFormatting>
  <conditionalFormatting sqref="F952:F956">
    <cfRule type="cellIs" priority="187" dxfId="727" operator="between">
      <formula>11.4</formula>
      <formula>13.9</formula>
    </cfRule>
  </conditionalFormatting>
  <conditionalFormatting sqref="C891">
    <cfRule type="cellIs" priority="185" dxfId="728" operator="greaterThanOrEqual" stopIfTrue="1">
      <formula>17.4</formula>
    </cfRule>
  </conditionalFormatting>
  <conditionalFormatting sqref="D872:D876">
    <cfRule type="cellIs" priority="184" dxfId="727" operator="between">
      <formula>15.4</formula>
      <formula>17.9</formula>
    </cfRule>
  </conditionalFormatting>
  <conditionalFormatting sqref="E872:E876">
    <cfRule type="cellIs" priority="183" dxfId="727" operator="between">
      <formula>13.4</formula>
      <formula>15.9</formula>
    </cfRule>
  </conditionalFormatting>
  <conditionalFormatting sqref="F872:F876">
    <cfRule type="cellIs" priority="182" dxfId="727" operator="between">
      <formula>11.4</formula>
      <formula>13.9</formula>
    </cfRule>
  </conditionalFormatting>
  <conditionalFormatting sqref="C872">
    <cfRule type="cellIs" priority="180" dxfId="728" operator="greaterThanOrEqual" stopIfTrue="1">
      <formula>17.4</formula>
    </cfRule>
  </conditionalFormatting>
  <conditionalFormatting sqref="C874">
    <cfRule type="cellIs" priority="179" dxfId="728" operator="greaterThanOrEqual" stopIfTrue="1">
      <formula>17.4</formula>
    </cfRule>
  </conditionalFormatting>
  <conditionalFormatting sqref="C875:C876">
    <cfRule type="cellIs" priority="178" dxfId="728" operator="greaterThanOrEqual" stopIfTrue="1">
      <formula>17.4</formula>
    </cfRule>
  </conditionalFormatting>
  <conditionalFormatting sqref="C888:C890">
    <cfRule type="cellIs" priority="177" dxfId="728" operator="greaterThanOrEqual" stopIfTrue="1">
      <formula>17.4</formula>
    </cfRule>
  </conditionalFormatting>
  <conditionalFormatting sqref="D904">
    <cfRule type="cellIs" priority="176" dxfId="727" operator="between">
      <formula>15.4</formula>
      <formula>17.9</formula>
    </cfRule>
  </conditionalFormatting>
  <conditionalFormatting sqref="E904">
    <cfRule type="cellIs" priority="175" dxfId="727" operator="between">
      <formula>13.4</formula>
      <formula>15.9</formula>
    </cfRule>
  </conditionalFormatting>
  <conditionalFormatting sqref="F904">
    <cfRule type="cellIs" priority="174" dxfId="727" operator="between">
      <formula>11.4</formula>
      <formula>13.9</formula>
    </cfRule>
  </conditionalFormatting>
  <conditionalFormatting sqref="C904">
    <cfRule type="cellIs" priority="172" dxfId="728" operator="greaterThanOrEqual" stopIfTrue="1">
      <formula>17.4</formula>
    </cfRule>
  </conditionalFormatting>
  <conditionalFormatting sqref="C887">
    <cfRule type="cellIs" priority="171" dxfId="727" operator="greaterThanOrEqual">
      <formula>17.4</formula>
    </cfRule>
  </conditionalFormatting>
  <conditionalFormatting sqref="C873">
    <cfRule type="cellIs" priority="170" dxfId="728" operator="greaterThanOrEqual" stopIfTrue="1">
      <formula>17.4</formula>
    </cfRule>
  </conditionalFormatting>
  <conditionalFormatting sqref="C913">
    <cfRule type="cellIs" priority="169" dxfId="727" operator="greaterThanOrEqual">
      <formula>17.4</formula>
    </cfRule>
  </conditionalFormatting>
  <conditionalFormatting sqref="D913">
    <cfRule type="cellIs" priority="168" dxfId="727" operator="between">
      <formula>15.4</formula>
      <formula>17.9</formula>
    </cfRule>
  </conditionalFormatting>
  <conditionalFormatting sqref="E913">
    <cfRule type="cellIs" priority="167" dxfId="727" operator="between">
      <formula>13.4</formula>
      <formula>15.9</formula>
    </cfRule>
  </conditionalFormatting>
  <conditionalFormatting sqref="F913">
    <cfRule type="cellIs" priority="166" dxfId="727" operator="between">
      <formula>11.4</formula>
      <formula>13.9</formula>
    </cfRule>
  </conditionalFormatting>
  <conditionalFormatting sqref="C914">
    <cfRule type="cellIs" priority="164" dxfId="727" operator="greaterThanOrEqual">
      <formula>17.4</formula>
    </cfRule>
  </conditionalFormatting>
  <conditionalFormatting sqref="D914">
    <cfRule type="cellIs" priority="163" dxfId="727" operator="between">
      <formula>15.4</formula>
      <formula>17.9</formula>
    </cfRule>
  </conditionalFormatting>
  <conditionalFormatting sqref="E914">
    <cfRule type="cellIs" priority="162" dxfId="727" operator="between">
      <formula>13.4</formula>
      <formula>15.9</formula>
    </cfRule>
  </conditionalFormatting>
  <conditionalFormatting sqref="F914">
    <cfRule type="cellIs" priority="161" dxfId="727" operator="between">
      <formula>11.4</formula>
      <formula>13.9</formula>
    </cfRule>
  </conditionalFormatting>
  <conditionalFormatting sqref="C915">
    <cfRule type="cellIs" priority="159" dxfId="727" operator="greaterThanOrEqual">
      <formula>17.4</formula>
    </cfRule>
  </conditionalFormatting>
  <conditionalFormatting sqref="D915">
    <cfRule type="cellIs" priority="158" dxfId="727" operator="between">
      <formula>15.4</formula>
      <formula>17.9</formula>
    </cfRule>
  </conditionalFormatting>
  <conditionalFormatting sqref="E915">
    <cfRule type="cellIs" priority="157" dxfId="727" operator="between">
      <formula>13.4</formula>
      <formula>15.9</formula>
    </cfRule>
  </conditionalFormatting>
  <conditionalFormatting sqref="F915">
    <cfRule type="cellIs" priority="156" dxfId="727" operator="between">
      <formula>11.4</formula>
      <formula>13.9</formula>
    </cfRule>
  </conditionalFormatting>
  <conditionalFormatting sqref="C916">
    <cfRule type="cellIs" priority="154" dxfId="727" operator="greaterThanOrEqual">
      <formula>17.4</formula>
    </cfRule>
  </conditionalFormatting>
  <conditionalFormatting sqref="D916">
    <cfRule type="cellIs" priority="153" dxfId="727" operator="between">
      <formula>15.4</formula>
      <formula>17.9</formula>
    </cfRule>
  </conditionalFormatting>
  <conditionalFormatting sqref="E916">
    <cfRule type="cellIs" priority="152" dxfId="727" operator="between">
      <formula>13.4</formula>
      <formula>15.9</formula>
    </cfRule>
  </conditionalFormatting>
  <conditionalFormatting sqref="F916">
    <cfRule type="cellIs" priority="151" dxfId="727" operator="between">
      <formula>11.4</formula>
      <formula>13.9</formula>
    </cfRule>
  </conditionalFormatting>
  <conditionalFormatting sqref="C917">
    <cfRule type="cellIs" priority="149" dxfId="727" operator="greaterThanOrEqual">
      <formula>17.4</formula>
    </cfRule>
  </conditionalFormatting>
  <conditionalFormatting sqref="D917">
    <cfRule type="cellIs" priority="148" dxfId="727" operator="between">
      <formula>15.4</formula>
      <formula>17.9</formula>
    </cfRule>
  </conditionalFormatting>
  <conditionalFormatting sqref="E917">
    <cfRule type="cellIs" priority="147" dxfId="727" operator="between">
      <formula>13.4</formula>
      <formula>15.9</formula>
    </cfRule>
  </conditionalFormatting>
  <conditionalFormatting sqref="F917">
    <cfRule type="cellIs" priority="146" dxfId="727" operator="between">
      <formula>11.4</formula>
      <formula>13.9</formula>
    </cfRule>
  </conditionalFormatting>
  <conditionalFormatting sqref="D977:D981">
    <cfRule type="cellIs" priority="144" dxfId="727" operator="between">
      <formula>15.4</formula>
      <formula>17.9</formula>
    </cfRule>
  </conditionalFormatting>
  <conditionalFormatting sqref="E977:E981">
    <cfRule type="cellIs" priority="143" dxfId="727" operator="between">
      <formula>13.4</formula>
      <formula>15.9</formula>
    </cfRule>
  </conditionalFormatting>
  <conditionalFormatting sqref="F977:F981">
    <cfRule type="cellIs" priority="142" dxfId="727" operator="between">
      <formula>11.4</formula>
      <formula>13.9</formula>
    </cfRule>
  </conditionalFormatting>
  <conditionalFormatting sqref="C990:C993">
    <cfRule type="cellIs" priority="140" dxfId="727" operator="greaterThanOrEqual">
      <formula>17.4</formula>
    </cfRule>
  </conditionalFormatting>
  <conditionalFormatting sqref="D990:D993">
    <cfRule type="cellIs" priority="139" dxfId="727" operator="between">
      <formula>15.4</formula>
      <formula>17.9</formula>
    </cfRule>
  </conditionalFormatting>
  <conditionalFormatting sqref="E990:E993">
    <cfRule type="cellIs" priority="138" dxfId="727" operator="between">
      <formula>13.4</formula>
      <formula>15.9</formula>
    </cfRule>
  </conditionalFormatting>
  <conditionalFormatting sqref="F990:F993">
    <cfRule type="cellIs" priority="137" dxfId="727" operator="between">
      <formula>11.4</formula>
      <formula>13.9</formula>
    </cfRule>
  </conditionalFormatting>
  <conditionalFormatting sqref="C1016:C1020">
    <cfRule type="cellIs" priority="135" dxfId="727" operator="greaterThanOrEqual">
      <formula>17.4</formula>
    </cfRule>
  </conditionalFormatting>
  <conditionalFormatting sqref="D1016:D1020">
    <cfRule type="cellIs" priority="134" dxfId="727" operator="between">
      <formula>15.4</formula>
      <formula>17.9</formula>
    </cfRule>
  </conditionalFormatting>
  <conditionalFormatting sqref="E1016:E1020">
    <cfRule type="cellIs" priority="133" dxfId="727" operator="between">
      <formula>13.4</formula>
      <formula>15.9</formula>
    </cfRule>
  </conditionalFormatting>
  <conditionalFormatting sqref="F1016:F1020">
    <cfRule type="cellIs" priority="132" dxfId="727" operator="between">
      <formula>11.4</formula>
      <formula>13.9</formula>
    </cfRule>
  </conditionalFormatting>
  <conditionalFormatting sqref="C1029:C1033">
    <cfRule type="cellIs" priority="130" dxfId="727" operator="greaterThanOrEqual">
      <formula>17.4</formula>
    </cfRule>
  </conditionalFormatting>
  <conditionalFormatting sqref="D1029:D1033">
    <cfRule type="cellIs" priority="129" dxfId="727" operator="between">
      <formula>15.4</formula>
      <formula>17.9</formula>
    </cfRule>
  </conditionalFormatting>
  <conditionalFormatting sqref="E1029:E1033">
    <cfRule type="cellIs" priority="128" dxfId="727" operator="between">
      <formula>13.4</formula>
      <formula>15.9</formula>
    </cfRule>
  </conditionalFormatting>
  <conditionalFormatting sqref="F1029:F1033">
    <cfRule type="cellIs" priority="127" dxfId="727" operator="between">
      <formula>11.4</formula>
      <formula>13.9</formula>
    </cfRule>
  </conditionalFormatting>
  <conditionalFormatting sqref="C1042:C1046">
    <cfRule type="cellIs" priority="125" dxfId="727" operator="greaterThanOrEqual">
      <formula>17.4</formula>
    </cfRule>
  </conditionalFormatting>
  <conditionalFormatting sqref="D1042:D1046">
    <cfRule type="cellIs" priority="124" dxfId="727" operator="between">
      <formula>15.4</formula>
      <formula>17.9</formula>
    </cfRule>
  </conditionalFormatting>
  <conditionalFormatting sqref="C981">
    <cfRule type="cellIs" priority="120" dxfId="728" operator="greaterThanOrEqual" stopIfTrue="1">
      <formula>17.4</formula>
    </cfRule>
  </conditionalFormatting>
  <conditionalFormatting sqref="D962:D966">
    <cfRule type="cellIs" priority="119" dxfId="727" operator="between">
      <formula>15.4</formula>
      <formula>17.9</formula>
    </cfRule>
  </conditionalFormatting>
  <conditionalFormatting sqref="E962:E966">
    <cfRule type="cellIs" priority="118" dxfId="727" operator="between">
      <formula>13.4</formula>
      <formula>15.9</formula>
    </cfRule>
  </conditionalFormatting>
  <conditionalFormatting sqref="F962:F966">
    <cfRule type="cellIs" priority="117" dxfId="727" operator="between">
      <formula>11.4</formula>
      <formula>13.9</formula>
    </cfRule>
  </conditionalFormatting>
  <conditionalFormatting sqref="C962">
    <cfRule type="cellIs" priority="115" dxfId="728" operator="greaterThanOrEqual" stopIfTrue="1">
      <formula>17.4</formula>
    </cfRule>
  </conditionalFormatting>
  <conditionalFormatting sqref="C964">
    <cfRule type="cellIs" priority="114" dxfId="728" operator="greaterThanOrEqual" stopIfTrue="1">
      <formula>17.4</formula>
    </cfRule>
  </conditionalFormatting>
  <conditionalFormatting sqref="C965:C966">
    <cfRule type="cellIs" priority="113" dxfId="728" operator="greaterThanOrEqual" stopIfTrue="1">
      <formula>17.4</formula>
    </cfRule>
  </conditionalFormatting>
  <conditionalFormatting sqref="C978:C980">
    <cfRule type="cellIs" priority="112" dxfId="728" operator="greaterThanOrEqual" stopIfTrue="1">
      <formula>17.4</formula>
    </cfRule>
  </conditionalFormatting>
  <conditionalFormatting sqref="D994">
    <cfRule type="cellIs" priority="111" dxfId="727" operator="between">
      <formula>15.4</formula>
      <formula>17.9</formula>
    </cfRule>
  </conditionalFormatting>
  <conditionalFormatting sqref="E994">
    <cfRule type="cellIs" priority="110" dxfId="727" operator="between">
      <formula>13.4</formula>
      <formula>15.9</formula>
    </cfRule>
  </conditionalFormatting>
  <conditionalFormatting sqref="F994">
    <cfRule type="cellIs" priority="109" dxfId="727" operator="between">
      <formula>11.4</formula>
      <formula>13.9</formula>
    </cfRule>
  </conditionalFormatting>
  <conditionalFormatting sqref="C994">
    <cfRule type="cellIs" priority="107" dxfId="728" operator="greaterThanOrEqual" stopIfTrue="1">
      <formula>17.4</formula>
    </cfRule>
  </conditionalFormatting>
  <conditionalFormatting sqref="C977">
    <cfRule type="cellIs" priority="106" dxfId="727" operator="greaterThanOrEqual">
      <formula>17.4</formula>
    </cfRule>
  </conditionalFormatting>
  <conditionalFormatting sqref="C963">
    <cfRule type="cellIs" priority="105" dxfId="728" operator="greaterThanOrEqual" stopIfTrue="1">
      <formula>17.4</formula>
    </cfRule>
  </conditionalFormatting>
  <conditionalFormatting sqref="C1003">
    <cfRule type="cellIs" priority="104" dxfId="727" operator="greaterThanOrEqual">
      <formula>17.4</formula>
    </cfRule>
  </conditionalFormatting>
  <conditionalFormatting sqref="D1003">
    <cfRule type="cellIs" priority="103" dxfId="727" operator="between">
      <formula>15.4</formula>
      <formula>17.9</formula>
    </cfRule>
  </conditionalFormatting>
  <conditionalFormatting sqref="E1003">
    <cfRule type="cellIs" priority="102" dxfId="727" operator="between">
      <formula>13.4</formula>
      <formula>15.9</formula>
    </cfRule>
  </conditionalFormatting>
  <conditionalFormatting sqref="F1003">
    <cfRule type="cellIs" priority="101" dxfId="727" operator="between">
      <formula>11.4</formula>
      <formula>13.9</formula>
    </cfRule>
  </conditionalFormatting>
  <conditionalFormatting sqref="C1004">
    <cfRule type="cellIs" priority="99" dxfId="727" operator="greaterThanOrEqual">
      <formula>17.4</formula>
    </cfRule>
  </conditionalFormatting>
  <conditionalFormatting sqref="D1004">
    <cfRule type="cellIs" priority="98" dxfId="727" operator="between">
      <formula>15.4</formula>
      <formula>17.9</formula>
    </cfRule>
  </conditionalFormatting>
  <conditionalFormatting sqref="E1004">
    <cfRule type="cellIs" priority="97" dxfId="727" operator="between">
      <formula>13.4</formula>
      <formula>15.9</formula>
    </cfRule>
  </conditionalFormatting>
  <conditionalFormatting sqref="F1004">
    <cfRule type="cellIs" priority="96" dxfId="727" operator="between">
      <formula>11.4</formula>
      <formula>13.9</formula>
    </cfRule>
  </conditionalFormatting>
  <conditionalFormatting sqref="C1005">
    <cfRule type="cellIs" priority="94" dxfId="727" operator="greaterThanOrEqual">
      <formula>17.4</formula>
    </cfRule>
  </conditionalFormatting>
  <conditionalFormatting sqref="D1005">
    <cfRule type="cellIs" priority="93" dxfId="727" operator="between">
      <formula>15.4</formula>
      <formula>17.9</formula>
    </cfRule>
  </conditionalFormatting>
  <conditionalFormatting sqref="E1005">
    <cfRule type="cellIs" priority="92" dxfId="727" operator="between">
      <formula>13.4</formula>
      <formula>15.9</formula>
    </cfRule>
  </conditionalFormatting>
  <conditionalFormatting sqref="F1005">
    <cfRule type="cellIs" priority="91" dxfId="727" operator="between">
      <formula>11.4</formula>
      <formula>13.9</formula>
    </cfRule>
  </conditionalFormatting>
  <conditionalFormatting sqref="C1006">
    <cfRule type="cellIs" priority="89" dxfId="727" operator="greaterThanOrEqual">
      <formula>17.4</formula>
    </cfRule>
  </conditionalFormatting>
  <conditionalFormatting sqref="D1006">
    <cfRule type="cellIs" priority="88" dxfId="727" operator="between">
      <formula>15.4</formula>
      <formula>17.9</formula>
    </cfRule>
  </conditionalFormatting>
  <conditionalFormatting sqref="E1006">
    <cfRule type="cellIs" priority="87" dxfId="727" operator="between">
      <formula>13.4</formula>
      <formula>15.9</formula>
    </cfRule>
  </conditionalFormatting>
  <conditionalFormatting sqref="F1006">
    <cfRule type="cellIs" priority="86" dxfId="727" operator="between">
      <formula>11.4</formula>
      <formula>13.9</formula>
    </cfRule>
  </conditionalFormatting>
  <conditionalFormatting sqref="C1007">
    <cfRule type="cellIs" priority="84" dxfId="727" operator="greaterThanOrEqual">
      <formula>17.4</formula>
    </cfRule>
  </conditionalFormatting>
  <conditionalFormatting sqref="D1007">
    <cfRule type="cellIs" priority="83" dxfId="727" operator="between">
      <formula>15.4</formula>
      <formula>17.9</formula>
    </cfRule>
  </conditionalFormatting>
  <conditionalFormatting sqref="E1007">
    <cfRule type="cellIs" priority="82" dxfId="727" operator="between">
      <formula>13.4</formula>
      <formula>15.9</formula>
    </cfRule>
  </conditionalFormatting>
  <conditionalFormatting sqref="F1007">
    <cfRule type="cellIs" priority="81" dxfId="727" operator="between">
      <formula>11.4</formula>
      <formula>13.9</formula>
    </cfRule>
  </conditionalFormatting>
  <conditionalFormatting sqref="D1067:D1071">
    <cfRule type="cellIs" priority="79" dxfId="727" operator="between">
      <formula>15.4</formula>
      <formula>17.9</formula>
    </cfRule>
  </conditionalFormatting>
  <conditionalFormatting sqref="E1067:E1071">
    <cfRule type="cellIs" priority="78" dxfId="727" operator="between">
      <formula>13.4</formula>
      <formula>15.9</formula>
    </cfRule>
  </conditionalFormatting>
  <conditionalFormatting sqref="F1067:F1071">
    <cfRule type="cellIs" priority="77" dxfId="727" operator="between">
      <formula>11.4</formula>
      <formula>13.9</formula>
    </cfRule>
  </conditionalFormatting>
  <conditionalFormatting sqref="C1080:C1083">
    <cfRule type="cellIs" priority="75" dxfId="727" operator="greaterThanOrEqual">
      <formula>17.4</formula>
    </cfRule>
  </conditionalFormatting>
  <conditionalFormatting sqref="D1080:D1083">
    <cfRule type="cellIs" priority="74" dxfId="727" operator="between">
      <formula>15.4</formula>
      <formula>17.9</formula>
    </cfRule>
  </conditionalFormatting>
  <conditionalFormatting sqref="E1080:E1083">
    <cfRule type="cellIs" priority="73" dxfId="727" operator="between">
      <formula>13.4</formula>
      <formula>15.9</formula>
    </cfRule>
  </conditionalFormatting>
  <conditionalFormatting sqref="F1080:F1083">
    <cfRule type="cellIs" priority="72" dxfId="727" operator="between">
      <formula>11.4</formula>
      <formula>13.9</formula>
    </cfRule>
  </conditionalFormatting>
  <conditionalFormatting sqref="C1106:C1110">
    <cfRule type="cellIs" priority="70" dxfId="727" operator="greaterThanOrEqual">
      <formula>17.4</formula>
    </cfRule>
  </conditionalFormatting>
  <conditionalFormatting sqref="D1106:D1110">
    <cfRule type="cellIs" priority="69" dxfId="727" operator="between">
      <formula>15.4</formula>
      <formula>17.9</formula>
    </cfRule>
  </conditionalFormatting>
  <conditionalFormatting sqref="E1106:E1110">
    <cfRule type="cellIs" priority="68" dxfId="727" operator="between">
      <formula>13.4</formula>
      <formula>15.9</formula>
    </cfRule>
  </conditionalFormatting>
  <conditionalFormatting sqref="F1106:F1110">
    <cfRule type="cellIs" priority="67" dxfId="727" operator="between">
      <formula>11.4</formula>
      <formula>13.9</formula>
    </cfRule>
  </conditionalFormatting>
  <conditionalFormatting sqref="C1119:C1123">
    <cfRule type="cellIs" priority="65" dxfId="727" operator="greaterThanOrEqual">
      <formula>17.4</formula>
    </cfRule>
  </conditionalFormatting>
  <conditionalFormatting sqref="D1119:D1123">
    <cfRule type="cellIs" priority="64" dxfId="727" operator="between">
      <formula>15.4</formula>
      <formula>17.9</formula>
    </cfRule>
  </conditionalFormatting>
  <conditionalFormatting sqref="E1119:E1123">
    <cfRule type="cellIs" priority="63" dxfId="727" operator="between">
      <formula>13.4</formula>
      <formula>15.9</formula>
    </cfRule>
  </conditionalFormatting>
  <conditionalFormatting sqref="F1119:F1123">
    <cfRule type="cellIs" priority="62" dxfId="727" operator="between">
      <formula>11.4</formula>
      <formula>13.9</formula>
    </cfRule>
  </conditionalFormatting>
  <conditionalFormatting sqref="C1132:C1136">
    <cfRule type="cellIs" priority="60" dxfId="727" operator="greaterThanOrEqual">
      <formula>17.4</formula>
    </cfRule>
  </conditionalFormatting>
  <conditionalFormatting sqref="D1132:D1136">
    <cfRule type="cellIs" priority="59" dxfId="727" operator="between">
      <formula>15.4</formula>
      <formula>17.9</formula>
    </cfRule>
  </conditionalFormatting>
  <conditionalFormatting sqref="E1132:E1136">
    <cfRule type="cellIs" priority="58" dxfId="727" operator="between">
      <formula>13.4</formula>
      <formula>15.9</formula>
    </cfRule>
  </conditionalFormatting>
  <conditionalFormatting sqref="F1132:F1136">
    <cfRule type="cellIs" priority="57" dxfId="727" operator="between">
      <formula>11.4</formula>
      <formula>13.9</formula>
    </cfRule>
  </conditionalFormatting>
  <conditionalFormatting sqref="C1071">
    <cfRule type="cellIs" priority="55" dxfId="728" operator="greaterThanOrEqual" stopIfTrue="1">
      <formula>17.4</formula>
    </cfRule>
  </conditionalFormatting>
  <conditionalFormatting sqref="D1052:D1056">
    <cfRule type="cellIs" priority="54" dxfId="727" operator="between">
      <formula>15.4</formula>
      <formula>17.9</formula>
    </cfRule>
  </conditionalFormatting>
  <conditionalFormatting sqref="E1052:E1056">
    <cfRule type="cellIs" priority="53" dxfId="727" operator="between">
      <formula>13.4</formula>
      <formula>15.9</formula>
    </cfRule>
  </conditionalFormatting>
  <conditionalFormatting sqref="F1052:F1056">
    <cfRule type="cellIs" priority="52" dxfId="727" operator="between">
      <formula>11.4</formula>
      <formula>13.9</formula>
    </cfRule>
  </conditionalFormatting>
  <conditionalFormatting sqref="C1052">
    <cfRule type="cellIs" priority="50" dxfId="728" operator="greaterThanOrEqual" stopIfTrue="1">
      <formula>17.4</formula>
    </cfRule>
  </conditionalFormatting>
  <conditionalFormatting sqref="C1054">
    <cfRule type="cellIs" priority="49" dxfId="728" operator="greaterThanOrEqual" stopIfTrue="1">
      <formula>17.4</formula>
    </cfRule>
  </conditionalFormatting>
  <conditionalFormatting sqref="C1055:C1056">
    <cfRule type="cellIs" priority="48" dxfId="728" operator="greaterThanOrEqual" stopIfTrue="1">
      <formula>17.4</formula>
    </cfRule>
  </conditionalFormatting>
  <conditionalFormatting sqref="C1068:C1070">
    <cfRule type="cellIs" priority="47" dxfId="728" operator="greaterThanOrEqual" stopIfTrue="1">
      <formula>17.4</formula>
    </cfRule>
  </conditionalFormatting>
  <conditionalFormatting sqref="D1084">
    <cfRule type="cellIs" priority="46" dxfId="727" operator="between">
      <formula>15.4</formula>
      <formula>17.9</formula>
    </cfRule>
  </conditionalFormatting>
  <conditionalFormatting sqref="E1084">
    <cfRule type="cellIs" priority="45" dxfId="727" operator="between">
      <formula>13.4</formula>
      <formula>15.9</formula>
    </cfRule>
  </conditionalFormatting>
  <conditionalFormatting sqref="F1084">
    <cfRule type="cellIs" priority="44" dxfId="727" operator="between">
      <formula>11.4</formula>
      <formula>13.9</formula>
    </cfRule>
  </conditionalFormatting>
  <conditionalFormatting sqref="C1084">
    <cfRule type="cellIs" priority="42" dxfId="728" operator="greaterThanOrEqual" stopIfTrue="1">
      <formula>17.4</formula>
    </cfRule>
  </conditionalFormatting>
  <conditionalFormatting sqref="C1067">
    <cfRule type="cellIs" priority="41" dxfId="727" operator="greaterThanOrEqual">
      <formula>17.4</formula>
    </cfRule>
  </conditionalFormatting>
  <conditionalFormatting sqref="C1053">
    <cfRule type="cellIs" priority="40" dxfId="728" operator="greaterThanOrEqual" stopIfTrue="1">
      <formula>17.4</formula>
    </cfRule>
  </conditionalFormatting>
  <conditionalFormatting sqref="C1093">
    <cfRule type="cellIs" priority="39" dxfId="727" operator="greaterThanOrEqual">
      <formula>17.4</formula>
    </cfRule>
  </conditionalFormatting>
  <conditionalFormatting sqref="D1093">
    <cfRule type="cellIs" priority="38" dxfId="727" operator="between">
      <formula>15.4</formula>
      <formula>17.9</formula>
    </cfRule>
  </conditionalFormatting>
  <conditionalFormatting sqref="E1093">
    <cfRule type="cellIs" priority="37" dxfId="727" operator="between">
      <formula>13.4</formula>
      <formula>15.9</formula>
    </cfRule>
  </conditionalFormatting>
  <conditionalFormatting sqref="F1093">
    <cfRule type="cellIs" priority="36" dxfId="727" operator="between">
      <formula>11.4</formula>
      <formula>13.9</formula>
    </cfRule>
  </conditionalFormatting>
  <conditionalFormatting sqref="C1094">
    <cfRule type="cellIs" priority="34" dxfId="727" operator="greaterThanOrEqual">
      <formula>17.4</formula>
    </cfRule>
  </conditionalFormatting>
  <conditionalFormatting sqref="D1094">
    <cfRule type="cellIs" priority="33" dxfId="727" operator="between">
      <formula>15.4</formula>
      <formula>17.9</formula>
    </cfRule>
  </conditionalFormatting>
  <conditionalFormatting sqref="E1094">
    <cfRule type="cellIs" priority="32" dxfId="727" operator="between">
      <formula>13.4</formula>
      <formula>15.9</formula>
    </cfRule>
  </conditionalFormatting>
  <conditionalFormatting sqref="F1094">
    <cfRule type="cellIs" priority="31" dxfId="727" operator="between">
      <formula>11.4</formula>
      <formula>13.9</formula>
    </cfRule>
  </conditionalFormatting>
  <conditionalFormatting sqref="C1095">
    <cfRule type="cellIs" priority="29" dxfId="727" operator="greaterThanOrEqual">
      <formula>17.4</formula>
    </cfRule>
  </conditionalFormatting>
  <conditionalFormatting sqref="D1095">
    <cfRule type="cellIs" priority="28" dxfId="727" operator="between">
      <formula>15.4</formula>
      <formula>17.9</formula>
    </cfRule>
  </conditionalFormatting>
  <conditionalFormatting sqref="E1095">
    <cfRule type="cellIs" priority="27" dxfId="727" operator="between">
      <formula>13.4</formula>
      <formula>15.9</formula>
    </cfRule>
  </conditionalFormatting>
  <conditionalFormatting sqref="F1095">
    <cfRule type="cellIs" priority="26" dxfId="727" operator="between">
      <formula>11.4</formula>
      <formula>13.9</formula>
    </cfRule>
  </conditionalFormatting>
  <conditionalFormatting sqref="C1096">
    <cfRule type="cellIs" priority="24" dxfId="727" operator="greaterThanOrEqual">
      <formula>17.4</formula>
    </cfRule>
  </conditionalFormatting>
  <conditionalFormatting sqref="D1096">
    <cfRule type="cellIs" priority="23" dxfId="727" operator="between">
      <formula>15.4</formula>
      <formula>17.9</formula>
    </cfRule>
  </conditionalFormatting>
  <conditionalFormatting sqref="E1096">
    <cfRule type="cellIs" priority="22" dxfId="727" operator="between">
      <formula>13.4</formula>
      <formula>15.9</formula>
    </cfRule>
  </conditionalFormatting>
  <conditionalFormatting sqref="F1096">
    <cfRule type="cellIs" priority="21" dxfId="727" operator="between">
      <formula>11.4</formula>
      <formula>13.9</formula>
    </cfRule>
  </conditionalFormatting>
  <conditionalFormatting sqref="C1097">
    <cfRule type="cellIs" priority="19" dxfId="727" operator="greaterThanOrEqual">
      <formula>17.4</formula>
    </cfRule>
  </conditionalFormatting>
  <conditionalFormatting sqref="D1097">
    <cfRule type="cellIs" priority="18" dxfId="727" operator="between">
      <formula>15.4</formula>
      <formula>17.9</formula>
    </cfRule>
  </conditionalFormatting>
  <conditionalFormatting sqref="E1097">
    <cfRule type="cellIs" priority="17" dxfId="727" operator="between">
      <formula>13.4</formula>
      <formula>15.9</formula>
    </cfRule>
  </conditionalFormatting>
  <conditionalFormatting sqref="F1097">
    <cfRule type="cellIs" priority="16" dxfId="727" operator="between">
      <formula>11.4</formula>
      <formula>13.9</formula>
    </cfRule>
  </conditionalFormatting>
  <conditionalFormatting sqref="E1042:E1046">
    <cfRule type="cellIs" priority="14" dxfId="727" operator="greaterThanOrEqual">
      <formula>17.4</formula>
    </cfRule>
  </conditionalFormatting>
  <conditionalFormatting sqref="F1042:F1046">
    <cfRule type="cellIs" priority="13" dxfId="727" operator="greaterThanOrEqual">
      <formula>17.4</formula>
    </cfRule>
  </conditionalFormatting>
  <conditionalFormatting sqref="D16:D20 D4:D9 D25:D29 D34:D38 D43:D47 D56:D60 D65:D69 D75:D79 D87:D91 D96:D100 D105:D109 D114:D118 D126:D130 D135:D139 D145:D149 D157:D161 D166:D170 D175:D179 D184:D188 D196:D200 D205:D209 D215:D219 D227:D231 D236:D240 D245:D249 D254:D258 D267:D271 D276:D280 D286:D290 D298:D302 D307:D311 D316:D320 D325:D329 D338:D342 D347:D351 D357:D361 D369:D373 D378:D382 D387:D391 D396:D400 D409:D413 D418:D422 D428:D432 D440:D444 D449:D453 D458:D462 D467:D471 D480:D484 D489:D493 D499:D503 D511:D515 D520:D524 D529:D533 D538:D542 D551:D555 D560:D564 D570:D574 D582:D586 D591:D595 D600:D604 D609:D613 D622:D626 D631:D635 D641:D645 D653:D657 D662:D666 D671:D675 D680:D684 D693:D697 D702:D706 D712:D716 D724:D728 D733:D737 D742:D746 D751:D755 D764:D768 D773:D777 D783:D787 D795:D799 D804:D808 D813:D817 D822:D826 D835:D839">
    <cfRule type="cellIs" priority="11" dxfId="727" operator="between">
      <formula>15.4</formula>
      <formula>17.9</formula>
    </cfRule>
  </conditionalFormatting>
  <conditionalFormatting sqref="E16:E20 E4:E9 E25:E29 E34:E38 E43:E47 E56:E60 E65:E69 E75:E79 E87:E91 E96:E100 E105:E109 E114:E118 E126:E130 E135:E139 E145:E149 E157:E161 E166:E170 E175:E179 E184:E188 E196:E200 E205:E209 E215:E219 E227:E231 E236:E240 E245:E249 E254:E258 E267:E271 E276:E280 E286:E290 E298:E302 E307:E311 E316:E320 E325:E329 E338:E342 E347:E351 E357:E361 E369:E373 E378:E382 E387:E391 E396:E400 E409:E413 E418:E422 E428:E432 E440:E444 E449:E453 E458:E462 E467:E471 E480:E484 E489:E493 E499:E503 E511:E515 E520:E524 E529:E533 E538:E542 E551:E555 E560:E564 E570:E574 E582:E586 E591:E595 E600:E604 E609:E613 E622:E626 E631:E635 E641:E645 E653:E657 E662:E666 E671:E675 E680:E684 E693:E697 E702:E706 E712:E716 E724:E728 E733:E737 E742:E746 E751:E755 E764:E768 E773:E777 E783:E787 E795:E799 E804:E808 E813:E817 E822:E826 E835:E839">
    <cfRule type="cellIs" priority="10" dxfId="727" operator="between">
      <formula>13.4</formula>
      <formula>15.9</formula>
    </cfRule>
  </conditionalFormatting>
  <conditionalFormatting sqref="F16:F20 F4:F9 F25:F29 F34:F38 F43:F47 F56:F60 F65:F69 F75:F79 F87:F91 F96:F100 F105:F109 F114:F118 F126:F130 F135:F139 F145:F149 F157:F161 F166:F170 F175:F179 F184:F188 F196:F200 F205:F209 F215:F219 F227:F231 F236:F240 F245:F249 F254:F258 F267:F271 F276:F280 F286:F290 F298:F302 F307:F311 F316:F320 F325:F329 F338:F342 F347:F351 F357:F361 F369:F373 F378:F382 F387:F391 F396:F400 F409:F413 F418:F422 F428:F432 F440:F444 F449:F453 F458:F462 F467:F471 F480:F484 F489:F493 F499:F503 F511:F515 F520:F524 F529:F533 F538:F542 F551:F555 F560:F564 F570:F574 F582:F586 F591:F595 F600:F604 F609:F613 F622:F626 F631:F635 F641:F645 F653:F657 F662:F666 F671:F675 F680:F684 F693:F697 F702:F706 F712:F716 F724:F728 F733:F737 F742:F746 F751:F755 F764:F768 F773:F777 F783:F787 F795:F799 F804:F808 F813:F817 F822:F826 F835:F839">
    <cfRule type="cellIs" priority="9" dxfId="727" operator="between">
      <formula>11.4</formula>
      <formula>13.9</formula>
    </cfRule>
  </conditionalFormatting>
  <conditionalFormatting sqref="G16:G20 G4:G8 G25:G29 G34:G38 G43:G47 G56:G60 G65:G69 G75:G79 G87:G91 G96:G100 G105:G109 G114:G118 G126:G130 G135:G139 G145:G149 G157:G161 G166:G170 G175:G179 G184:G188 G196:G200 G205:G209 G215:G219 G227:G231 G236:G240 G245:G249 G254:G258 G267:G271 G276:G280 G286:G290 G298:G302 G307:G311 G316:G320 G325:G329 G338:G342 G347:G351 G357:G361 G369:G373 G378:G382 G387:G391 G396:G400 G409:G413 G418:G422 G428:G432 G440:G444 G449:G453 G458:G462 G467:G471 G480:G484 G489:G493 G499:G503 G511:G515 G520:G524 G529:G533 G538:G542 G551:G555 G560:G564 G570:G574 G582:G586 G591:G595 G600:G604 G609:G613 G622:G626 G631:G635 G641:G645 G653:G657 G662:G666 G671:G675 G680:G684 G693:G697 G702:G706 G712:G716 G724:G728 G733:G737 G742:G746 G751:G755 G764:G768 G773:G777 G783:G787 G795:G799 G804:G808 G813:G817 G822:G826 G835:G839">
    <cfRule type="cellIs" priority="8" dxfId="727" operator="lessThan">
      <formula>12</formula>
    </cfRule>
  </conditionalFormatting>
  <conditionalFormatting sqref="C25:C28 C16 C34:C38 C43:C47 C56:C60 C65:C69 C87 C96:C99 C105:C109 C114:C118 C126:C130 C135:C139 C157 C166:C169 C175:C179 C184:C188 C196:C200 C205:C209 C227 C236:C239 C245:C249 C254:C258 C267:C271 C276:C280 C298 C307:C310 C316:C320 C325:C329 C338:C342 C347:C351 C369 C378:C381 C387:C391 C396:C400 C409:C413 C418:C422 C440 C449:C452 C458:C462 C467:C471 C480:C484 C489:C493 C511 C520:C523 C529:C533 C538:C542 C551:C555 C560:C564 C582 C591:C594 C600:C604 C609:C613 C622:C626 C631:C635 C653 C662:C665 C671:C675 C680:C684 C693:C697 C702:C706 C724 C733:C736 C742:C746 C751:C755 C764:C768 C773:C777 C795 C804:C807 C813:C817 C822:C826 C835:C839">
    <cfRule type="cellIs" priority="7" dxfId="727" operator="greaterThanOrEqual">
      <formula>17.4</formula>
    </cfRule>
  </conditionalFormatting>
  <conditionalFormatting sqref="C4:C9 C17:C20 C29 C75:C79 C88:C91 C100 C145:C149 C158:C161 C170 C215:C219 C228:C231 C240 C286:C290 C299:C302 C311 C357:C361 C370:C373 C382 C428:C432 C441:C444 C453 C499:C503 C512:C515 C524 C570:C574 C583:C586 C595 C641:C645 C654:C657 C666 C712:C716 C725:C728 C737 C783:C787 C796:C799 C808">
    <cfRule type="cellIs" priority="6" dxfId="728" operator="greaterThanOrEqual" stopIfTrue="1">
      <formula>17.4</formula>
    </cfRule>
  </conditionalFormatting>
  <conditionalFormatting sqref="C844:C848">
    <cfRule type="cellIs" priority="5" dxfId="727" operator="greaterThanOrEqual">
      <formula>17.4</formula>
    </cfRule>
  </conditionalFormatting>
  <conditionalFormatting sqref="D844:D848">
    <cfRule type="cellIs" priority="4" dxfId="727" operator="between">
      <formula>15.4</formula>
      <formula>17.9</formula>
    </cfRule>
  </conditionalFormatting>
  <conditionalFormatting sqref="E844:E848">
    <cfRule type="cellIs" priority="3" dxfId="727" operator="between">
      <formula>13.4</formula>
      <formula>15.9</formula>
    </cfRule>
  </conditionalFormatting>
  <conditionalFormatting sqref="F844:F848">
    <cfRule type="cellIs" priority="2" dxfId="727" operator="between">
      <formula>11.4</formula>
      <formula>13.9</formula>
    </cfRule>
  </conditionalFormatting>
  <conditionalFormatting sqref="G844:G848">
    <cfRule type="cellIs" priority="1" dxfId="727" operator="lessThan">
      <formula>12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C. Tull</dc:creator>
  <cp:keywords/>
  <dc:description/>
  <cp:lastModifiedBy> Steve</cp:lastModifiedBy>
  <cp:lastPrinted>2008-12-15T01:20:05Z</cp:lastPrinted>
  <dcterms:created xsi:type="dcterms:W3CDTF">2002-04-01T22:09:04Z</dcterms:created>
  <dcterms:modified xsi:type="dcterms:W3CDTF">2016-02-20T16:18:53Z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-1929712137</vt:i4>
  </property>
  <property fmtid="{D5CDD505-2E9C-101B-9397-08002B2CF9AE}" pid="4" name="_EmailSubject">
    <vt:lpwstr>Updated EGF</vt:lpwstr>
  </property>
  <property fmtid="{D5CDD505-2E9C-101B-9397-08002B2CF9AE}" pid="5" name="_AuthorEmail">
    <vt:lpwstr>BickhamSR@Corning.com</vt:lpwstr>
  </property>
  <property fmtid="{D5CDD505-2E9C-101B-9397-08002B2CF9AE}" pid="6" name="_AuthorEmailDisplayName">
    <vt:lpwstr>Bickham, Scott R</vt:lpwstr>
  </property>
  <property fmtid="{D5CDD505-2E9C-101B-9397-08002B2CF9AE}" pid="7" name="_ReviewingToolsShownOnce">
    <vt:lpwstr/>
  </property>
</Properties>
</file>